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apam33-my.sharepoint.com/personal/admin_capam33_onmicrosoft_com/Documents/CAPAM/Equipe pédagogique CAPAM/Documentation avions/Performances/"/>
    </mc:Choice>
  </mc:AlternateContent>
  <xr:revisionPtr revIDLastSave="12" documentId="13_ncr:1_{DF4E6D8D-5C3E-4F74-A40C-3DD922ECBB5A}" xr6:coauthVersionLast="47" xr6:coauthVersionMax="47" xr10:uidLastSave="{95020D92-AB94-324F-BE66-5A18A556E984}"/>
  <bookViews>
    <workbookView xWindow="3360" yWindow="4185" windowWidth="21600" windowHeight="11295" xr2:uid="{00000000-000D-0000-FFFF-FFFF00000000}"/>
  </bookViews>
  <sheets>
    <sheet name="Perfo DR480 NR" sheetId="9" r:id="rId1"/>
    <sheet name="Calculs DR480" sheetId="10" r:id="rId2"/>
    <sheet name="Perfo DR460 ZY" sheetId="2" r:id="rId3"/>
    <sheet name="Calculs DR460" sheetId="3" r:id="rId4"/>
    <sheet name="Perfo DR420 DP" sheetId="4" r:id="rId5"/>
    <sheet name="Calculs DR420" sheetId="5" r:id="rId6"/>
    <sheet name="Méthode" sheetId="6" r:id="rId7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4" l="1"/>
  <c r="C6" i="2"/>
  <c r="Z7" i="3"/>
  <c r="B9" i="2"/>
  <c r="C9" i="2"/>
  <c r="X7" i="3"/>
  <c r="X9" i="3"/>
  <c r="X12" i="3"/>
  <c r="Z9" i="3"/>
  <c r="AG11" i="3"/>
  <c r="AG12" i="3"/>
  <c r="AG9" i="3"/>
  <c r="AG10" i="3"/>
  <c r="Y9" i="3"/>
  <c r="Y12" i="3"/>
  <c r="AA9" i="3"/>
  <c r="AH11" i="3"/>
  <c r="AH12" i="3"/>
  <c r="AH9" i="3"/>
  <c r="AH10" i="3"/>
  <c r="J12" i="2"/>
  <c r="J15" i="2"/>
  <c r="C6" i="9"/>
  <c r="Z7" i="10"/>
  <c r="B9" i="9"/>
  <c r="C9" i="9"/>
  <c r="X7" i="10"/>
  <c r="V7" i="10"/>
  <c r="V9" i="10"/>
  <c r="V10" i="10"/>
  <c r="X9" i="10"/>
  <c r="V12" i="10"/>
  <c r="V13" i="10"/>
  <c r="X12" i="10"/>
  <c r="Z9" i="10"/>
  <c r="AG11" i="10"/>
  <c r="AG12" i="10"/>
  <c r="AG9" i="10"/>
  <c r="AG10" i="10"/>
  <c r="H7" i="10"/>
  <c r="W9" i="10"/>
  <c r="W10" i="10"/>
  <c r="Y9" i="10"/>
  <c r="W12" i="10"/>
  <c r="W13" i="10"/>
  <c r="Y12" i="10"/>
  <c r="AA9" i="10"/>
  <c r="AH11" i="10"/>
  <c r="AH12" i="10"/>
  <c r="AH9" i="10"/>
  <c r="AH10" i="10"/>
  <c r="J12" i="9"/>
  <c r="J15" i="9"/>
  <c r="AH10" i="5"/>
  <c r="AF10" i="5"/>
  <c r="L7" i="3"/>
  <c r="J7" i="3"/>
  <c r="J9" i="3"/>
  <c r="J12" i="3"/>
  <c r="L9" i="3"/>
  <c r="AE11" i="3"/>
  <c r="AE12" i="3"/>
  <c r="AE9" i="3"/>
  <c r="AE10" i="3"/>
  <c r="K9" i="3"/>
  <c r="K12" i="3"/>
  <c r="M9" i="3"/>
  <c r="AF11" i="3"/>
  <c r="AF12" i="3"/>
  <c r="AF9" i="3"/>
  <c r="AF10" i="3"/>
  <c r="L7" i="10"/>
  <c r="J7" i="10"/>
  <c r="H9" i="10"/>
  <c r="H10" i="10"/>
  <c r="J9" i="10"/>
  <c r="H12" i="10"/>
  <c r="H13" i="10"/>
  <c r="J12" i="10"/>
  <c r="L9" i="10"/>
  <c r="AE11" i="10"/>
  <c r="AD12" i="10"/>
  <c r="AE12" i="10"/>
  <c r="AE9" i="10"/>
  <c r="AE10" i="10"/>
  <c r="I9" i="10"/>
  <c r="I10" i="10"/>
  <c r="K9" i="10"/>
  <c r="I12" i="10"/>
  <c r="I13" i="10"/>
  <c r="K12" i="10"/>
  <c r="M9" i="10"/>
  <c r="AF11" i="10"/>
  <c r="AF12" i="10"/>
  <c r="AF9" i="10"/>
  <c r="AF10" i="10"/>
  <c r="C6" i="4"/>
  <c r="Z7" i="5"/>
  <c r="B9" i="4"/>
  <c r="C9" i="4"/>
  <c r="X7" i="5"/>
  <c r="J7" i="5"/>
  <c r="V7" i="5"/>
  <c r="V9" i="5"/>
  <c r="V10" i="5"/>
  <c r="X9" i="5"/>
  <c r="Z9" i="5"/>
  <c r="AG11" i="5"/>
  <c r="AG12" i="5"/>
  <c r="AG9" i="5"/>
  <c r="AG10" i="5"/>
  <c r="I12" i="4"/>
  <c r="I15" i="4"/>
  <c r="H7" i="5"/>
  <c r="W9" i="5"/>
  <c r="W10" i="5"/>
  <c r="Y9" i="5"/>
  <c r="AA9" i="5"/>
  <c r="AH11" i="5"/>
  <c r="AH12" i="5"/>
  <c r="AH9" i="5"/>
  <c r="J12" i="4"/>
  <c r="V7" i="3"/>
  <c r="V9" i="3"/>
  <c r="V10" i="3"/>
  <c r="I12" i="2"/>
  <c r="I15" i="2"/>
  <c r="H7" i="3"/>
  <c r="W9" i="3"/>
  <c r="W10" i="3"/>
  <c r="I12" i="9"/>
  <c r="I15" i="9"/>
  <c r="E7" i="4"/>
  <c r="E7" i="2"/>
  <c r="E7" i="9"/>
  <c r="V12" i="5"/>
  <c r="V13" i="5"/>
  <c r="X12" i="5"/>
  <c r="C7" i="4"/>
  <c r="C7" i="2"/>
  <c r="W12" i="5"/>
  <c r="W13" i="5"/>
  <c r="Y12" i="5"/>
  <c r="L7" i="5"/>
  <c r="I9" i="5"/>
  <c r="I10" i="5"/>
  <c r="K9" i="5"/>
  <c r="I12" i="5"/>
  <c r="I13" i="5"/>
  <c r="K12" i="5"/>
  <c r="I15" i="5"/>
  <c r="I16" i="5"/>
  <c r="K15" i="5"/>
  <c r="M9" i="5"/>
  <c r="AF11" i="5"/>
  <c r="AF12" i="5"/>
  <c r="AF9" i="5"/>
  <c r="H12" i="4"/>
  <c r="H15" i="4"/>
  <c r="H9" i="5"/>
  <c r="H10" i="5"/>
  <c r="J9" i="5"/>
  <c r="H12" i="5"/>
  <c r="H13" i="5"/>
  <c r="J12" i="5"/>
  <c r="H15" i="5"/>
  <c r="H16" i="5"/>
  <c r="J15" i="5"/>
  <c r="L9" i="5"/>
  <c r="AE11" i="5"/>
  <c r="AD12" i="5"/>
  <c r="AE12" i="5"/>
  <c r="AE9" i="5"/>
  <c r="AE10" i="5"/>
  <c r="G12" i="4"/>
  <c r="G15" i="4"/>
  <c r="W11" i="3"/>
  <c r="W13" i="3"/>
  <c r="W14" i="3"/>
  <c r="W12" i="3"/>
  <c r="V11" i="3"/>
  <c r="V13" i="3"/>
  <c r="V14" i="3"/>
  <c r="V12" i="3"/>
  <c r="I9" i="3"/>
  <c r="I10" i="3"/>
  <c r="I11" i="3"/>
  <c r="I13" i="3"/>
  <c r="I14" i="3"/>
  <c r="I12" i="3"/>
  <c r="H12" i="2"/>
  <c r="H15" i="2"/>
  <c r="H9" i="3"/>
  <c r="H10" i="3"/>
  <c r="H11" i="3"/>
  <c r="H13" i="3"/>
  <c r="H14" i="3"/>
  <c r="H12" i="3"/>
  <c r="AD12" i="3"/>
  <c r="G12" i="2"/>
  <c r="G15" i="2"/>
  <c r="W11" i="10"/>
  <c r="W14" i="10"/>
  <c r="V11" i="10"/>
  <c r="V14" i="10"/>
  <c r="I11" i="10"/>
  <c r="I14" i="10"/>
  <c r="I16" i="10"/>
  <c r="I17" i="10"/>
  <c r="I15" i="10"/>
  <c r="K15" i="10"/>
  <c r="H12" i="9"/>
  <c r="H15" i="9"/>
  <c r="H11" i="10"/>
  <c r="H14" i="10"/>
  <c r="H16" i="10"/>
  <c r="H17" i="10"/>
  <c r="H15" i="10"/>
  <c r="J15" i="10"/>
  <c r="AD13" i="10"/>
  <c r="G12" i="9"/>
  <c r="G15" i="9"/>
  <c r="AD13" i="5"/>
  <c r="AD13" i="3"/>
  <c r="H11" i="5"/>
  <c r="H14" i="5"/>
  <c r="H17" i="5"/>
  <c r="H19" i="5"/>
  <c r="H20" i="5"/>
  <c r="H18" i="5"/>
  <c r="J18" i="5"/>
  <c r="I11" i="5"/>
  <c r="I14" i="5"/>
  <c r="I17" i="5"/>
  <c r="I18" i="5"/>
  <c r="I19" i="5"/>
  <c r="I20" i="5"/>
  <c r="K18" i="5"/>
  <c r="I19" i="10"/>
  <c r="I20" i="10"/>
  <c r="I18" i="10"/>
  <c r="K18" i="10"/>
  <c r="H19" i="10"/>
  <c r="H20" i="10"/>
  <c r="H18" i="10"/>
  <c r="J18" i="10"/>
  <c r="W16" i="10"/>
  <c r="W17" i="10"/>
  <c r="W15" i="10"/>
  <c r="Y15" i="10"/>
  <c r="V16" i="10"/>
  <c r="V17" i="10"/>
  <c r="V15" i="10"/>
  <c r="X15" i="10"/>
  <c r="C7" i="9"/>
  <c r="W17" i="5"/>
  <c r="V17" i="5"/>
  <c r="W16" i="5"/>
  <c r="V16" i="5"/>
  <c r="W15" i="5"/>
  <c r="Y15" i="5"/>
  <c r="V15" i="5"/>
  <c r="X15" i="5"/>
  <c r="W14" i="5"/>
  <c r="V14" i="5"/>
  <c r="W11" i="5"/>
  <c r="V11" i="5"/>
  <c r="W17" i="3"/>
  <c r="V17" i="3"/>
  <c r="I17" i="3"/>
  <c r="H17" i="3"/>
  <c r="W16" i="3"/>
  <c r="V16" i="3"/>
  <c r="I16" i="3"/>
  <c r="H16" i="3"/>
  <c r="W15" i="3"/>
  <c r="Y15" i="3"/>
  <c r="V15" i="3"/>
  <c r="X15" i="3"/>
  <c r="I15" i="3"/>
  <c r="K15" i="3"/>
  <c r="H15" i="3"/>
  <c r="J15" i="3"/>
</calcChain>
</file>

<file path=xl/sharedStrings.xml><?xml version="1.0" encoding="utf-8"?>
<sst xmlns="http://schemas.openxmlformats.org/spreadsheetml/2006/main" count="304" uniqueCount="98">
  <si>
    <t xml:space="preserve">F-GTZY </t>
  </si>
  <si>
    <r>
      <rPr>
        <b/>
        <sz val="18"/>
        <color indexed="12"/>
        <rFont val="Calibri"/>
      </rPr>
      <t xml:space="preserve">Performances   décollage   et   atterrissage   </t>
    </r>
    <r>
      <rPr>
        <b/>
        <sz val="20"/>
        <color indexed="12"/>
        <rFont val="Calibri"/>
      </rPr>
      <t>DR400-160</t>
    </r>
  </si>
  <si>
    <t>1. Renseigner les cases vertes
2. Lire les performances</t>
  </si>
  <si>
    <t>Altitude aérodrome
(ft QNH)</t>
  </si>
  <si>
    <t>QNH</t>
  </si>
  <si>
    <t>Altitude pression
(ft)</t>
  </si>
  <si>
    <t>Masse avion (kg)</t>
  </si>
  <si>
    <t>Température (°C)</t>
  </si>
  <si>
    <t>ISA (°C)</t>
  </si>
  <si>
    <r>
      <rPr>
        <b/>
        <sz val="12"/>
        <color indexed="8"/>
        <rFont val="Calibri"/>
      </rPr>
      <t xml:space="preserve">Performances </t>
    </r>
    <r>
      <rPr>
        <b/>
        <sz val="12"/>
        <color indexed="16"/>
        <rFont val="Calibri"/>
      </rPr>
      <t>brutes</t>
    </r>
    <r>
      <rPr>
        <b/>
        <sz val="12"/>
        <color indexed="8"/>
        <rFont val="Calibri"/>
      </rPr>
      <t xml:space="preserve"> de décollage</t>
    </r>
  </si>
  <si>
    <r>
      <rPr>
        <b/>
        <sz val="12"/>
        <color indexed="8"/>
        <rFont val="Calibri"/>
      </rPr>
      <t xml:space="preserve">Performances </t>
    </r>
    <r>
      <rPr>
        <b/>
        <sz val="12"/>
        <color indexed="16"/>
        <rFont val="Calibri"/>
      </rPr>
      <t>brutes</t>
    </r>
    <r>
      <rPr>
        <b/>
        <sz val="12"/>
        <color indexed="8"/>
        <rFont val="Calibri"/>
      </rPr>
      <t xml:space="preserve"> d'atterrissage</t>
    </r>
  </si>
  <si>
    <r>
      <rPr>
        <b/>
        <sz val="10"/>
        <color indexed="25"/>
        <rFont val="Calibri"/>
      </rPr>
      <t xml:space="preserve">Nb : </t>
    </r>
    <r>
      <rPr>
        <sz val="10"/>
        <color indexed="25"/>
        <rFont val="Calibri"/>
      </rPr>
      <t>les corrections pour pistes mouillées et pistes en pente ne sont pas données par le manuel de vol.</t>
    </r>
  </si>
  <si>
    <t>Distance de roulement (m)</t>
  </si>
  <si>
    <r>
      <rPr>
        <b/>
        <sz val="11"/>
        <color indexed="8"/>
        <rFont val="Calibri"/>
      </rPr>
      <t xml:space="preserve">Distance de  décollage (m)
</t>
    </r>
    <r>
      <rPr>
        <b/>
        <sz val="10"/>
        <color indexed="8"/>
        <rFont val="Calibri"/>
      </rPr>
      <t>(passage 50ft)</t>
    </r>
  </si>
  <si>
    <r>
      <rPr>
        <b/>
        <sz val="11"/>
        <color indexed="8"/>
        <rFont val="Calibri"/>
      </rPr>
      <t xml:space="preserve">Distance d'atterrissage (m)
</t>
    </r>
    <r>
      <rPr>
        <b/>
        <sz val="11"/>
        <color indexed="8"/>
        <rFont val="Calibri"/>
      </rPr>
      <t xml:space="preserve"> </t>
    </r>
    <r>
      <rPr>
        <b/>
        <sz val="10"/>
        <color indexed="8"/>
        <rFont val="Calibri"/>
      </rPr>
      <t>(passage 50ft)</t>
    </r>
  </si>
  <si>
    <t>Face</t>
  </si>
  <si>
    <t>Dure</t>
  </si>
  <si>
    <t>Piste sèche</t>
  </si>
  <si>
    <r>
      <rPr>
        <b/>
        <sz val="12"/>
        <color indexed="8"/>
        <rFont val="Calibri"/>
      </rPr>
      <t xml:space="preserve">Performances de décollage
</t>
    </r>
    <r>
      <rPr>
        <b/>
        <sz val="12"/>
        <color indexed="8"/>
        <rFont val="Calibri"/>
      </rPr>
      <t>factorisées (</t>
    </r>
    <r>
      <rPr>
        <b/>
        <sz val="12"/>
        <color indexed="17"/>
        <rFont val="Calibri"/>
      </rPr>
      <t>+30%</t>
    </r>
    <r>
      <rPr>
        <b/>
        <sz val="12"/>
        <color indexed="8"/>
        <rFont val="Calibri"/>
      </rPr>
      <t>)</t>
    </r>
  </si>
  <si>
    <t>Comparer à TODA</t>
  </si>
  <si>
    <t>Comparer à LDA</t>
  </si>
  <si>
    <t xml:space="preserve"> F-GTZY</t>
  </si>
  <si>
    <t>Performances de décollage</t>
  </si>
  <si>
    <t>Performances d'atterrissage</t>
  </si>
  <si>
    <t>Prise en compte du vent et  type de piste</t>
  </si>
  <si>
    <t>Masse (Kg)</t>
  </si>
  <si>
    <t>Masse du jour (Kg)</t>
  </si>
  <si>
    <t>Field Pressure Alt (ft)</t>
  </si>
  <si>
    <t>Altitude Pression
(ft)</t>
  </si>
  <si>
    <t>T°
(°C)</t>
  </si>
  <si>
    <t>Performances brutes de décollage</t>
  </si>
  <si>
    <t>Performances brutes d'atterrissage</t>
  </si>
  <si>
    <r>
      <rPr>
        <b/>
        <sz val="11"/>
        <color indexed="8"/>
        <rFont val="Calibri"/>
      </rPr>
      <t xml:space="preserve">Distance de  décollage (m)
</t>
    </r>
    <r>
      <rPr>
        <sz val="11"/>
        <color indexed="8"/>
        <rFont val="Calibri"/>
      </rPr>
      <t>(passage 50ft)</t>
    </r>
  </si>
  <si>
    <r>
      <rPr>
        <b/>
        <sz val="11"/>
        <color indexed="8"/>
        <rFont val="Calibri"/>
      </rPr>
      <t xml:space="preserve">Distance d'atterrissage (m)
</t>
    </r>
    <r>
      <rPr>
        <sz val="11"/>
        <color indexed="8"/>
        <rFont val="Calibri"/>
      </rPr>
      <t>(passage 50ft)</t>
    </r>
  </si>
  <si>
    <t>Vent</t>
  </si>
  <si>
    <t>Cf manuel</t>
  </si>
  <si>
    <t>Type piste</t>
  </si>
  <si>
    <t>Herbe = *1.15 TO et LAND</t>
  </si>
  <si>
    <t>Arrière</t>
  </si>
  <si>
    <t>&lt;-- nom sensvent</t>
  </si>
  <si>
    <t>Type de piste</t>
  </si>
  <si>
    <t>Etat piste</t>
  </si>
  <si>
    <t>Sèche</t>
  </si>
  <si>
    <t>Herbe</t>
  </si>
  <si>
    <t>Mouillée</t>
  </si>
  <si>
    <t>nom face</t>
  </si>
  <si>
    <t>nom arrière</t>
  </si>
  <si>
    <r>
      <rPr>
        <b/>
        <sz val="18"/>
        <color indexed="12"/>
        <rFont val="Calibri"/>
      </rPr>
      <t xml:space="preserve">Performances   décollage   et   atterrissage   </t>
    </r>
    <r>
      <rPr>
        <b/>
        <sz val="20"/>
        <color indexed="12"/>
        <rFont val="Calibri"/>
      </rPr>
      <t>DR400-120</t>
    </r>
  </si>
  <si>
    <r>
      <rPr>
        <b/>
        <sz val="11"/>
        <color indexed="14"/>
        <rFont val="Calibri"/>
      </rPr>
      <t xml:space="preserve">Sens du vent
</t>
    </r>
    <r>
      <rPr>
        <sz val="10"/>
        <color indexed="8"/>
        <rFont val="Calibri"/>
      </rPr>
      <t>[menu déroulant]</t>
    </r>
  </si>
  <si>
    <r>
      <rPr>
        <b/>
        <sz val="11"/>
        <color indexed="14"/>
        <rFont val="Calibri"/>
      </rPr>
      <t xml:space="preserve">Type de piste
</t>
    </r>
    <r>
      <rPr>
        <sz val="10"/>
        <color indexed="8"/>
        <rFont val="Calibri"/>
      </rPr>
      <t>[menu déroulant]</t>
    </r>
  </si>
  <si>
    <t>&lt;-- nom sensvent420</t>
  </si>
  <si>
    <t>nom face420</t>
  </si>
  <si>
    <t>nom arrière420</t>
  </si>
  <si>
    <t>Méthode de calcul : exemple pour le DR460</t>
  </si>
  <si>
    <t>A. Calcul pour 0ft et 1050kg</t>
  </si>
  <si>
    <r>
      <rPr>
        <b/>
        <sz val="11"/>
        <color indexed="8"/>
        <rFont val="Calibri"/>
      </rPr>
      <t xml:space="preserve">3. </t>
    </r>
    <r>
      <rPr>
        <sz val="11"/>
        <color indexed="8"/>
        <rFont val="Calibri"/>
      </rPr>
      <t>Calcul des distances :</t>
    </r>
  </si>
  <si>
    <t>Exemple pour distance de décollage :</t>
  </si>
  <si>
    <t>B. Les calculs sont faits via le même protocole pour 0ft et Masse = 850kg</t>
  </si>
  <si>
    <r>
      <rPr>
        <b/>
        <sz val="11"/>
        <color indexed="8"/>
        <rFont val="Calibri"/>
      </rPr>
      <t>C.</t>
    </r>
    <r>
      <rPr>
        <sz val="11"/>
        <color indexed="8"/>
        <rFont val="Calibri"/>
      </rPr>
      <t xml:space="preserve"> Une règle de 3 rapporte à la masse du jour</t>
    </r>
  </si>
  <si>
    <r>
      <rPr>
        <b/>
        <sz val="11"/>
        <color indexed="8"/>
        <rFont val="Calibri"/>
      </rPr>
      <t>D.</t>
    </r>
    <r>
      <rPr>
        <sz val="11"/>
        <color indexed="8"/>
        <rFont val="Calibri"/>
      </rPr>
      <t xml:space="preserve"> Mêmes principes de calculs pour Alt pression de 4000ft ou 8000ft</t>
    </r>
  </si>
  <si>
    <r>
      <rPr>
        <b/>
        <sz val="11"/>
        <color indexed="8"/>
        <rFont val="Calibri"/>
      </rPr>
      <t>E.</t>
    </r>
    <r>
      <rPr>
        <sz val="11"/>
        <color indexed="8"/>
        <rFont val="Calibri"/>
      </rPr>
      <t xml:space="preserve"> Règle de 3 pour rapporter à l'alt pression du jour</t>
    </r>
  </si>
  <si>
    <t xml:space="preserve"> F-GLDP </t>
  </si>
  <si>
    <t xml:space="preserve">F-GNNR </t>
  </si>
  <si>
    <r>
      <t xml:space="preserve">Performances   décollage   et   atterrissage   </t>
    </r>
    <r>
      <rPr>
        <b/>
        <sz val="20"/>
        <color indexed="12"/>
        <rFont val="Calibri"/>
      </rPr>
      <t>DR400-180</t>
    </r>
  </si>
  <si>
    <t xml:space="preserve"> F-GNNR</t>
  </si>
  <si>
    <r>
      <t xml:space="preserve">Sens du vent
</t>
    </r>
    <r>
      <rPr>
        <sz val="10"/>
        <color rgb="FF0070C0"/>
        <rFont val="Calibri"/>
        <family val="2"/>
      </rPr>
      <t>[menu déroulant]</t>
    </r>
  </si>
  <si>
    <r>
      <t xml:space="preserve">Type de piste
</t>
    </r>
    <r>
      <rPr>
        <sz val="10"/>
        <color rgb="FF0070C0"/>
        <rFont val="Calibri"/>
        <family val="2"/>
      </rPr>
      <t>[menu déroulant]</t>
    </r>
  </si>
  <si>
    <r>
      <rPr>
        <sz val="11"/>
        <color rgb="FF0070C0"/>
        <rFont val="Helvetica Neue"/>
      </rPr>
      <t>Δ</t>
    </r>
    <r>
      <rPr>
        <b/>
        <sz val="11"/>
        <color rgb="FF0070C0"/>
        <rFont val="Helvetica Neue"/>
      </rPr>
      <t>ISA (°C)</t>
    </r>
  </si>
  <si>
    <t xml:space="preserve"> F-GLDP</t>
  </si>
  <si>
    <t>Ce tableur a été créé par Denis Combes pour le DACA. Il a été modifié et customisé par Philippe Laverne pour le CAPAM</t>
  </si>
  <si>
    <t>Calculs</t>
  </si>
  <si>
    <t>intermédiaires</t>
  </si>
  <si>
    <t>calculs</t>
  </si>
  <si>
    <r>
      <t xml:space="preserve">Δ ISA max du manuel de vol = </t>
    </r>
    <r>
      <rPr>
        <b/>
        <sz val="9"/>
        <color indexed="22"/>
        <rFont val="Helvetica Neue"/>
        <scheme val="minor"/>
      </rPr>
      <t>+/-20°C</t>
    </r>
    <r>
      <rPr>
        <sz val="9"/>
        <color indexed="22"/>
        <rFont val="Helvetica Neue"/>
        <scheme val="minor"/>
      </rPr>
      <t xml:space="preserve">
("ISA-20" et "ISA+20")</t>
    </r>
  </si>
  <si>
    <r>
      <rPr>
        <sz val="11"/>
        <color rgb="FFFFFFFF"/>
        <rFont val="Helvetica Neue"/>
        <scheme val="minor"/>
      </rPr>
      <t xml:space="preserve">Δ </t>
    </r>
    <r>
      <rPr>
        <b/>
        <sz val="11"/>
        <color rgb="FFFFFFFF"/>
        <rFont val="Helvetica Neue"/>
        <scheme val="minor"/>
      </rPr>
      <t>ISA du jour (°C)</t>
    </r>
  </si>
  <si>
    <r>
      <t xml:space="preserve">Δ ISA max du manuel de vol = </t>
    </r>
    <r>
      <rPr>
        <b/>
        <sz val="8"/>
        <color indexed="22"/>
        <rFont val="Helvetica Neue"/>
        <scheme val="minor"/>
      </rPr>
      <t>+/-20°C</t>
    </r>
    <r>
      <rPr>
        <sz val="8"/>
        <color indexed="22"/>
        <rFont val="Helvetica Neue"/>
        <scheme val="minor"/>
      </rPr>
      <t xml:space="preserve">
("ISA-20" et "ISA+20")</t>
    </r>
  </si>
  <si>
    <t>est disponible dans le Manuel de Vol</t>
  </si>
  <si>
    <t>Le calcul atterrissage piste en herbe sans freins</t>
  </si>
  <si>
    <r>
      <rPr>
        <sz val="11"/>
        <color rgb="FFFFFFFF"/>
        <rFont val="Helvetica Neue"/>
        <scheme val="minor"/>
      </rPr>
      <t xml:space="preserve">Δ  </t>
    </r>
    <r>
      <rPr>
        <b/>
        <sz val="11"/>
        <color rgb="FFFFFFFF"/>
        <rFont val="Helvetica Neue"/>
        <scheme val="minor"/>
      </rPr>
      <t>ISA du jour (°C)</t>
    </r>
  </si>
  <si>
    <r>
      <rPr>
        <sz val="11"/>
        <color rgb="FF000000"/>
        <rFont val="Helvetica Neue"/>
        <scheme val="minor"/>
      </rPr>
      <t xml:space="preserve">Δ </t>
    </r>
    <r>
      <rPr>
        <b/>
        <sz val="11"/>
        <color rgb="FF000000"/>
        <rFont val="Helvetica Neue"/>
        <scheme val="minor"/>
      </rPr>
      <t>ISA</t>
    </r>
    <r>
      <rPr>
        <b/>
        <sz val="11"/>
        <color indexed="8"/>
        <rFont val="Calibri"/>
      </rPr>
      <t xml:space="preserve">
(°C)</t>
    </r>
  </si>
  <si>
    <r>
      <t>Remarque : les 3 températures données pour chaque altitude sont les</t>
    </r>
    <r>
      <rPr>
        <b/>
        <sz val="11"/>
        <color rgb="FF000000"/>
        <rFont val="Helvetica Neue"/>
        <scheme val="minor"/>
      </rPr>
      <t xml:space="preserve"> </t>
    </r>
    <r>
      <rPr>
        <sz val="11"/>
        <color rgb="FF000000"/>
        <rFont val="Helvetica Neue"/>
        <scheme val="minor"/>
      </rPr>
      <t xml:space="preserve">Δ </t>
    </r>
    <r>
      <rPr>
        <b/>
        <sz val="11"/>
        <color indexed="8"/>
        <rFont val="Calibri"/>
      </rPr>
      <t xml:space="preserve">ISA -20, 0 et 20°. On doit raisonner en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Symbol"/>
      </rPr>
      <t xml:space="preserve"> </t>
    </r>
    <r>
      <rPr>
        <b/>
        <sz val="11"/>
        <color indexed="8"/>
        <rFont val="Calibri"/>
      </rPr>
      <t xml:space="preserve">ISA et non en T° brutes !
                         Le fichier calcule donc le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Symbol"/>
      </rPr>
      <t xml:space="preserve"> </t>
    </r>
    <r>
      <rPr>
        <b/>
        <sz val="11"/>
        <color indexed="8"/>
        <rFont val="Calibri"/>
      </rPr>
      <t>ISA lorsque vous entrez la T° du jour en tenant compte de l'altitude</t>
    </r>
  </si>
  <si>
    <r>
      <rPr>
        <b/>
        <sz val="11"/>
        <color indexed="8"/>
        <rFont val="Calibri"/>
      </rPr>
      <t>1.</t>
    </r>
    <r>
      <rPr>
        <sz val="11"/>
        <color indexed="8"/>
        <rFont val="Calibri"/>
      </rPr>
      <t xml:space="preserve"> Calcul de </t>
    </r>
    <r>
      <rPr>
        <sz val="11"/>
        <color rgb="FF000000"/>
        <rFont val="Helvetica Neue"/>
        <scheme val="minor"/>
      </rPr>
      <t>Δ</t>
    </r>
    <r>
      <rPr>
        <b/>
        <sz val="11"/>
        <color indexed="8"/>
        <rFont val="Calibri"/>
      </rPr>
      <t>distance/</t>
    </r>
    <r>
      <rPr>
        <sz val="11"/>
        <color rgb="FF000000"/>
        <rFont val="Helvetica Neue"/>
        <scheme val="minor"/>
      </rPr>
      <t>Δ</t>
    </r>
    <r>
      <rPr>
        <b/>
        <sz val="11"/>
        <color indexed="8"/>
        <rFont val="Calibri"/>
      </rPr>
      <t>ISA</t>
    </r>
  </si>
  <si>
    <r>
      <t xml:space="preserve">La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 xml:space="preserve">distance dépend de la  T° : elle est calculée selon l'intervalle dans lequel se situe la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ISA du jour</t>
    </r>
  </si>
  <si>
    <r>
      <t xml:space="preserve">    - exemple pour distance de décollage à 0ft, si T° est entre -5° et 15°C (c’est-à-dire si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 xml:space="preserve">ISA est entre -20 et 0°C), </t>
    </r>
    <r>
      <rPr>
        <sz val="11"/>
        <color rgb="FF000000"/>
        <rFont val="Helvetica Neue"/>
        <scheme val="minor"/>
      </rPr>
      <t>Δ</t>
    </r>
    <r>
      <rPr>
        <b/>
        <sz val="11"/>
        <color indexed="8"/>
        <rFont val="Calibri"/>
      </rPr>
      <t>distance/</t>
    </r>
    <r>
      <rPr>
        <sz val="11"/>
        <color rgb="FF000000"/>
        <rFont val="Helvetica Neue"/>
        <scheme val="minor"/>
      </rPr>
      <t>Δ</t>
    </r>
    <r>
      <rPr>
        <b/>
        <sz val="11"/>
        <color indexed="8"/>
        <rFont val="Calibri"/>
      </rPr>
      <t>ISA = 3m/°C</t>
    </r>
    <r>
      <rPr>
        <sz val="11"/>
        <color indexed="8"/>
        <rFont val="Calibri"/>
      </rPr>
      <t xml:space="preserve"> (voir annotations sur le tableau plus haut)</t>
    </r>
  </si>
  <si>
    <r>
      <t xml:space="preserve">                                                                                             si T° est entre 15° et 35° (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 xml:space="preserve">ISA entre 0 et 20°C) : </t>
    </r>
    <r>
      <rPr>
        <sz val="11"/>
        <color rgb="FF000000"/>
        <rFont val="Helvetica Neue"/>
        <scheme val="minor"/>
      </rPr>
      <t>Δ</t>
    </r>
    <r>
      <rPr>
        <b/>
        <sz val="11"/>
        <color indexed="8"/>
        <rFont val="Calibri"/>
      </rPr>
      <t>distance/</t>
    </r>
    <r>
      <rPr>
        <sz val="11"/>
        <color rgb="FF000000"/>
        <rFont val="Helvetica Neue"/>
        <scheme val="minor"/>
      </rPr>
      <t>Δ</t>
    </r>
    <r>
      <rPr>
        <b/>
        <sz val="11"/>
        <color indexed="8"/>
        <rFont val="Calibri"/>
      </rPr>
      <t>ISA = 3.25m/°C</t>
    </r>
  </si>
  <si>
    <r>
      <rPr>
        <b/>
        <sz val="11"/>
        <color indexed="8"/>
        <rFont val="Calibri"/>
      </rPr>
      <t xml:space="preserve">2. </t>
    </r>
    <r>
      <rPr>
        <sz val="11"/>
        <color indexed="8"/>
        <rFont val="Calibri"/>
      </rPr>
      <t xml:space="preserve">Calcul de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Tj entre la</t>
    </r>
    <r>
      <rPr>
        <sz val="11"/>
        <color rgb="FF000000"/>
        <rFont val="Helvetica Neue"/>
        <scheme val="minor"/>
      </rPr>
      <t xml:space="preserve"> Δ</t>
    </r>
    <r>
      <rPr>
        <sz val="11"/>
        <color indexed="8"/>
        <rFont val="Calibri"/>
      </rPr>
      <t xml:space="preserve">ISA du jour et la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 xml:space="preserve">ISA la plus basse de l'intervalle dans lequel se situe la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ISA du jour</t>
    </r>
  </si>
  <si>
    <r>
      <t xml:space="preserve">Exemple si T° = 7°C à 0ft.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 xml:space="preserve">ISA = -8°C (7°-15°) :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Tj = (-8-(-20)) = 12°C</t>
    </r>
  </si>
  <si>
    <r>
      <t xml:space="preserve">                   si T° = 20°C.</t>
    </r>
    <r>
      <rPr>
        <sz val="11"/>
        <color rgb="FF000000"/>
        <rFont val="Helvetica Neue"/>
        <scheme val="minor"/>
      </rPr>
      <t xml:space="preserve"> Δ</t>
    </r>
    <r>
      <rPr>
        <sz val="11"/>
        <color indexed="8"/>
        <rFont val="Calibri"/>
      </rPr>
      <t xml:space="preserve">ISA = 5°C (20°-15°) :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Tj=(5-0)=5°C</t>
    </r>
  </si>
  <si>
    <r>
      <t xml:space="preserve">Distance correspondant à la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ISA la plus basse de la gamme + (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Tj x</t>
    </r>
    <r>
      <rPr>
        <sz val="11"/>
        <color indexed="8"/>
        <rFont val="Symbol"/>
      </rPr>
      <t xml:space="preserve">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distance/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ISA)</t>
    </r>
  </si>
  <si>
    <r>
      <t xml:space="preserve">                 si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ISA = -8°C : 530 + (12x3) = 530+36 = 566m</t>
    </r>
  </si>
  <si>
    <r>
      <t xml:space="preserve">                 si </t>
    </r>
    <r>
      <rPr>
        <sz val="11"/>
        <color rgb="FF000000"/>
        <rFont val="Helvetica Neue"/>
        <scheme val="minor"/>
      </rPr>
      <t>Δ</t>
    </r>
    <r>
      <rPr>
        <sz val="11"/>
        <color indexed="8"/>
        <rFont val="Calibri"/>
      </rPr>
      <t>ISA = 5°C : 590 + (5x3.25) = 606.25m</t>
    </r>
  </si>
  <si>
    <r>
      <rPr>
        <sz val="10"/>
        <color rgb="FFFF0000"/>
        <rFont val="Calibri"/>
        <family val="2"/>
      </rPr>
      <t>Attention, ce fichier n'est pas fourni par le constructeur.</t>
    </r>
    <r>
      <rPr>
        <sz val="10"/>
        <color indexed="8"/>
        <rFont val="Calibri"/>
        <family val="2"/>
      </rPr>
      <t xml:space="preserve"> Il ne doit pas être le seul outil de préparation des performances de votre vol.
</t>
    </r>
    <r>
      <rPr>
        <u/>
        <sz val="10"/>
        <color indexed="8"/>
        <rFont val="Calibri"/>
        <family val="2"/>
      </rPr>
      <t>Référez-vous au manuel de vol de l'avion afin de vérifier systématiquement les performances calculées.</t>
    </r>
  </si>
  <si>
    <t>Performances brutes = celles données par le manuel de vol. Elles correspondent à un avion neuf et réalisées par un pilote d'essai dans des conditions différentes de notre utilisation normale.</t>
  </si>
  <si>
    <t xml:space="preserve"> Il est conseillé de factoriser ces valeurs pour plus de sécurité.  Au pilote de décider. Le tableau ci-contre majore les distances de 30% au décollage et de 30% sur le roulage à l'atterrissage.</t>
  </si>
  <si>
    <r>
      <t xml:space="preserve">Vitesse du vent (kt)
</t>
    </r>
    <r>
      <rPr>
        <b/>
        <sz val="8"/>
        <color indexed="8"/>
        <rFont val="Calibri"/>
      </rPr>
      <t>Composante face ou arrière</t>
    </r>
  </si>
  <si>
    <r>
      <t xml:space="preserve">Vitesse du vent (kt)
</t>
    </r>
    <r>
      <rPr>
        <b/>
        <sz val="8"/>
        <color rgb="FF0070C0"/>
        <rFont val="Calibri"/>
        <family val="2"/>
      </rPr>
      <t>Composante face ou arrière</t>
    </r>
  </si>
  <si>
    <r>
      <t>Performances d'atterrissage
factorisées (</t>
    </r>
    <r>
      <rPr>
        <b/>
        <sz val="12"/>
        <color indexed="17"/>
        <rFont val="Calibri"/>
      </rPr>
      <t xml:space="preserve">+30% </t>
    </r>
    <r>
      <rPr>
        <b/>
        <sz val="12"/>
        <color indexed="8"/>
        <rFont val="Calibri"/>
      </rPr>
      <t>)</t>
    </r>
  </si>
  <si>
    <r>
      <t>Performances d'atterrissage
factorisées (</t>
    </r>
    <r>
      <rPr>
        <b/>
        <sz val="12"/>
        <color indexed="17"/>
        <rFont val="Calibri"/>
      </rPr>
      <t>+30%</t>
    </r>
    <r>
      <rPr>
        <b/>
        <sz val="12"/>
        <color indexed="8"/>
        <rFont val="Calibri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</si>
</sst>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indexed="8"/>
      <name val="Calibri"/>
    </font>
    <font>
      <sz val="14"/>
      <color indexed="8"/>
      <name val="Calibri"/>
    </font>
    <font>
      <b/>
      <sz val="28"/>
      <color indexed="12"/>
      <name val="Calibri"/>
    </font>
    <font>
      <b/>
      <sz val="18"/>
      <color indexed="12"/>
      <name val="Calibri"/>
    </font>
    <font>
      <b/>
      <sz val="20"/>
      <color indexed="12"/>
      <name val="Calibri"/>
    </font>
    <font>
      <b/>
      <sz val="12"/>
      <color indexed="17"/>
      <name val="Calibri"/>
    </font>
    <font>
      <b/>
      <sz val="10"/>
      <color indexed="12"/>
      <name val="Calibri"/>
    </font>
    <font>
      <sz val="10"/>
      <color indexed="12"/>
      <name val="Calibri"/>
    </font>
    <font>
      <b/>
      <sz val="16"/>
      <color indexed="8"/>
      <name val="Calibri"/>
    </font>
    <font>
      <sz val="16"/>
      <color indexed="8"/>
      <name val="Calibri"/>
    </font>
    <font>
      <b/>
      <sz val="14"/>
      <color indexed="8"/>
      <name val="Calibri"/>
    </font>
    <font>
      <sz val="8"/>
      <color indexed="22"/>
      <name val="Calibri"/>
    </font>
    <font>
      <sz val="9"/>
      <color indexed="22"/>
      <name val="Calibri"/>
    </font>
    <font>
      <b/>
      <sz val="11"/>
      <color indexed="12"/>
      <name val="Calibri"/>
    </font>
    <font>
      <b/>
      <sz val="12"/>
      <color indexed="8"/>
      <name val="Calibri"/>
    </font>
    <font>
      <b/>
      <sz val="12"/>
      <color indexed="16"/>
      <name val="Calibri"/>
    </font>
    <font>
      <sz val="10"/>
      <color indexed="25"/>
      <name val="Calibri"/>
    </font>
    <font>
      <b/>
      <sz val="10"/>
      <color indexed="25"/>
      <name val="Calibri"/>
    </font>
    <font>
      <b/>
      <sz val="11"/>
      <color indexed="8"/>
      <name val="Calibri"/>
    </font>
    <font>
      <b/>
      <sz val="10"/>
      <color indexed="8"/>
      <name val="Calibri"/>
    </font>
    <font>
      <b/>
      <sz val="14"/>
      <color indexed="12"/>
      <name val="Calibri"/>
    </font>
    <font>
      <i/>
      <sz val="8"/>
      <color indexed="22"/>
      <name val="Calibri"/>
    </font>
    <font>
      <i/>
      <sz val="10"/>
      <color indexed="22"/>
      <name val="Calibri"/>
    </font>
    <font>
      <b/>
      <sz val="11"/>
      <color indexed="16"/>
      <name val="Calibri"/>
    </font>
    <font>
      <sz val="8"/>
      <color indexed="27"/>
      <name val="Calibri"/>
    </font>
    <font>
      <sz val="12"/>
      <color indexed="22"/>
      <name val="Calibri"/>
    </font>
    <font>
      <sz val="11"/>
      <color indexed="12"/>
      <name val="Calibri"/>
    </font>
    <font>
      <sz val="11"/>
      <color indexed="8"/>
      <name val="Symbol"/>
    </font>
    <font>
      <sz val="11"/>
      <color indexed="22"/>
      <name val="Calibri"/>
    </font>
    <font>
      <b/>
      <sz val="10"/>
      <color indexed="14"/>
      <name val="Calibri"/>
    </font>
    <font>
      <b/>
      <sz val="16"/>
      <color indexed="12"/>
      <name val="Calibri"/>
    </font>
    <font>
      <b/>
      <sz val="16"/>
      <color indexed="14"/>
      <name val="Calibri"/>
    </font>
    <font>
      <b/>
      <sz val="11"/>
      <color indexed="14"/>
      <name val="Calibri"/>
    </font>
    <font>
      <sz val="10"/>
      <color indexed="8"/>
      <name val="Calibri"/>
    </font>
    <font>
      <b/>
      <sz val="8"/>
      <color indexed="8"/>
      <name val="Calibri"/>
    </font>
    <font>
      <b/>
      <sz val="11"/>
      <color indexed="35"/>
      <name val="Calibri"/>
    </font>
    <font>
      <sz val="11"/>
      <color indexed="8"/>
      <name val="Calibri"/>
    </font>
    <font>
      <u/>
      <sz val="11"/>
      <color theme="11"/>
      <name val="Calibri"/>
    </font>
    <font>
      <b/>
      <sz val="10"/>
      <color rgb="FF0070C0"/>
      <name val="Calibri"/>
      <family val="2"/>
    </font>
    <font>
      <sz val="10"/>
      <color rgb="FF0070C0"/>
      <name val="Calibri"/>
      <family val="2"/>
    </font>
    <font>
      <sz val="10"/>
      <color theme="0"/>
      <name val="Calibri"/>
      <family val="2"/>
    </font>
    <font>
      <b/>
      <sz val="16"/>
      <color theme="0"/>
      <name val="Calibri"/>
      <family val="2"/>
    </font>
    <font>
      <b/>
      <sz val="11"/>
      <color rgb="FF0070C0"/>
      <name val="Calibri"/>
      <family val="2"/>
    </font>
    <font>
      <b/>
      <sz val="8"/>
      <color rgb="FF0070C0"/>
      <name val="Calibri"/>
      <family val="2"/>
    </font>
    <font>
      <b/>
      <sz val="11"/>
      <color rgb="FF0070C0"/>
      <name val="Helvetica Neue"/>
    </font>
    <font>
      <sz val="11"/>
      <color rgb="FF0070C0"/>
      <name val="Helvetica Neue"/>
    </font>
    <font>
      <b/>
      <sz val="16"/>
      <color rgb="FF0070C0"/>
      <name val="Helvetica Neue"/>
    </font>
    <font>
      <u/>
      <sz val="11"/>
      <color theme="10"/>
      <name val="Calibri"/>
    </font>
    <font>
      <sz val="9"/>
      <color indexed="22"/>
      <name val="Helvetica Neue"/>
      <scheme val="minor"/>
    </font>
    <font>
      <b/>
      <sz val="9"/>
      <color indexed="22"/>
      <name val="Helvetica Neue"/>
      <scheme val="minor"/>
    </font>
    <font>
      <sz val="11"/>
      <color rgb="FFFFFFFF"/>
      <name val="Helvetica Neue"/>
      <scheme val="minor"/>
    </font>
    <font>
      <b/>
      <sz val="11"/>
      <color rgb="FFFFFFFF"/>
      <name val="Helvetica Neue"/>
      <scheme val="minor"/>
    </font>
    <font>
      <sz val="8"/>
      <color indexed="22"/>
      <name val="Helvetica Neue"/>
      <scheme val="minor"/>
    </font>
    <font>
      <b/>
      <sz val="8"/>
      <color indexed="22"/>
      <name val="Helvetica Neue"/>
      <scheme val="minor"/>
    </font>
    <font>
      <sz val="10"/>
      <color theme="5" tint="-0.249977111117893"/>
      <name val="Calibri"/>
      <family val="2"/>
    </font>
    <font>
      <sz val="10"/>
      <color indexed="8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9"/>
      <color indexed="2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Helvetica Neue"/>
      <scheme val="minor"/>
    </font>
    <font>
      <b/>
      <sz val="11"/>
      <color rgb="FF000000"/>
      <name val="Helvetica Neue"/>
      <scheme val="minor"/>
    </font>
    <font>
      <sz val="11"/>
      <color indexed="8"/>
      <name val="Calibri"/>
      <family val="2"/>
    </font>
    <font>
      <sz val="10"/>
      <color theme="5" tint="-0.24994659260841701"/>
      <name val="Calibri"/>
      <family val="2"/>
    </font>
    <font>
      <sz val="10"/>
      <color rgb="FFFF0000"/>
      <name val="Calibri"/>
      <family val="2"/>
    </font>
    <font>
      <u/>
      <sz val="10"/>
      <color indexed="8"/>
      <name val="Calibri"/>
      <family val="2"/>
    </font>
    <font>
      <sz val="10"/>
      <color indexed="22"/>
      <name val="Calibri"/>
      <family val="2"/>
    </font>
    <font>
      <sz val="8"/>
      <color indexed="27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rgb="FFB10003"/>
        <bgColor indexed="64"/>
      </patternFill>
    </fill>
    <fill>
      <patternFill patternType="solid">
        <fgColor rgb="FFA0000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143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16"/>
      </bottom>
      <diagonal/>
    </border>
    <border>
      <left/>
      <right style="thin">
        <color indexed="13"/>
      </right>
      <top/>
      <bottom/>
      <diagonal/>
    </border>
    <border>
      <left/>
      <right style="medium">
        <color indexed="16"/>
      </right>
      <top/>
      <bottom/>
      <diagonal/>
    </border>
    <border>
      <left style="medium">
        <color indexed="16"/>
      </left>
      <right/>
      <top style="medium">
        <color indexed="16"/>
      </top>
      <bottom/>
      <diagonal/>
    </border>
    <border>
      <left/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/>
      <diagonal/>
    </border>
    <border>
      <left style="medium">
        <color indexed="16"/>
      </left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16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16"/>
      </right>
      <top/>
      <bottom/>
      <diagonal/>
    </border>
    <border>
      <left style="medium">
        <color indexed="16"/>
      </left>
      <right/>
      <top/>
      <bottom style="medium">
        <color indexed="16"/>
      </bottom>
      <diagonal/>
    </border>
    <border>
      <left/>
      <right style="medium">
        <color indexed="16"/>
      </right>
      <top/>
      <bottom style="medium">
        <color indexed="16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14"/>
      </right>
      <top style="thin">
        <color indexed="8"/>
      </top>
      <bottom style="thin">
        <color indexed="8"/>
      </bottom>
      <diagonal/>
    </border>
    <border>
      <left style="medium">
        <color indexed="14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29"/>
      </left>
      <right/>
      <top style="thin">
        <color indexed="29"/>
      </top>
      <bottom/>
      <diagonal/>
    </border>
    <border>
      <left/>
      <right/>
      <top style="thin">
        <color indexed="29"/>
      </top>
      <bottom/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/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/>
      <diagonal/>
    </border>
    <border>
      <left style="thin">
        <color indexed="29"/>
      </left>
      <right/>
      <top/>
      <bottom/>
      <diagonal/>
    </border>
    <border>
      <left/>
      <right/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/>
      <bottom style="medium">
        <color indexed="8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/>
      <right style="thin">
        <color indexed="29"/>
      </right>
      <top/>
      <bottom/>
      <diagonal/>
    </border>
    <border>
      <left style="thin">
        <color indexed="29"/>
      </left>
      <right style="thin">
        <color indexed="29"/>
      </right>
      <top style="thin">
        <color indexed="29"/>
      </top>
      <bottom style="medium">
        <color indexed="8"/>
      </bottom>
      <diagonal/>
    </border>
    <border>
      <left style="thin">
        <color indexed="29"/>
      </left>
      <right style="medium">
        <color indexed="8"/>
      </right>
      <top style="thin">
        <color indexed="29"/>
      </top>
      <bottom style="medium">
        <color indexed="8"/>
      </bottom>
      <diagonal/>
    </border>
    <border>
      <left style="medium">
        <color indexed="8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29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29"/>
      </bottom>
      <diagonal/>
    </border>
    <border>
      <left style="medium">
        <color indexed="8"/>
      </left>
      <right style="thin">
        <color indexed="8"/>
      </right>
      <top style="thin">
        <color indexed="29"/>
      </top>
      <bottom style="thin">
        <color indexed="29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29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29"/>
      </top>
      <bottom style="medium">
        <color indexed="8"/>
      </bottom>
      <diagonal/>
    </border>
    <border>
      <left style="medium">
        <color indexed="8"/>
      </left>
      <right style="thin">
        <color indexed="29"/>
      </right>
      <top style="thin">
        <color indexed="29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29"/>
      </top>
      <bottom style="thin">
        <color indexed="29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thin">
        <color indexed="29"/>
      </left>
      <right/>
      <top/>
      <bottom style="thin">
        <color indexed="8"/>
      </bottom>
      <diagonal/>
    </border>
    <border>
      <left style="thin">
        <color indexed="29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29"/>
      </left>
      <right/>
      <top style="thin">
        <color indexed="8"/>
      </top>
      <bottom/>
      <diagonal/>
    </border>
    <border>
      <left style="thin">
        <color indexed="29"/>
      </left>
      <right/>
      <top/>
      <bottom style="thin">
        <color indexed="29"/>
      </bottom>
      <diagonal/>
    </border>
    <border>
      <left/>
      <right/>
      <top/>
      <bottom style="thin">
        <color indexed="29"/>
      </bottom>
      <diagonal/>
    </border>
    <border>
      <left/>
      <right style="thin">
        <color indexed="29"/>
      </right>
      <top/>
      <bottom style="thin">
        <color indexed="29"/>
      </bottom>
      <diagonal/>
    </border>
    <border>
      <left style="medium">
        <color indexed="8"/>
      </left>
      <right style="medium">
        <color indexed="8"/>
      </right>
      <top style="thin">
        <color indexed="29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29"/>
      </top>
      <bottom style="thin">
        <color indexed="29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8"/>
      </right>
      <top style="thin">
        <color indexed="29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 style="thin">
        <color indexed="29"/>
      </left>
      <right style="thin">
        <color indexed="29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29"/>
      </top>
      <bottom style="thin">
        <color indexed="29"/>
      </bottom>
      <diagonal/>
    </border>
    <border>
      <left style="thin">
        <color indexed="8"/>
      </left>
      <right/>
      <top style="thin">
        <color indexed="29"/>
      </top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indexed="29"/>
      </bottom>
      <diagonal/>
    </border>
    <border>
      <left style="thin">
        <color indexed="8"/>
      </left>
      <right/>
      <top style="thin">
        <color indexed="29"/>
      </top>
      <bottom style="medium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29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29"/>
      </bottom>
      <diagonal/>
    </border>
    <border>
      <left style="medium">
        <color auto="1"/>
      </left>
      <right style="thin">
        <color indexed="8"/>
      </right>
      <top style="thin">
        <color indexed="29"/>
      </top>
      <bottom style="thin">
        <color indexed="29"/>
      </bottom>
      <diagonal/>
    </border>
    <border>
      <left style="thin">
        <color indexed="8"/>
      </left>
      <right style="medium">
        <color auto="1"/>
      </right>
      <top style="thin">
        <color indexed="29"/>
      </top>
      <bottom style="thin">
        <color indexed="29"/>
      </bottom>
      <diagonal/>
    </border>
    <border>
      <left style="medium">
        <color auto="1"/>
      </left>
      <right style="thin">
        <color indexed="8"/>
      </right>
      <top style="thin">
        <color indexed="29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29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9"/>
      </right>
      <top/>
      <bottom style="thin">
        <color indexed="29"/>
      </bottom>
      <diagonal/>
    </border>
    <border>
      <left style="thin">
        <color auto="1"/>
      </left>
      <right style="medium">
        <color indexed="8"/>
      </right>
      <top style="thin">
        <color indexed="29"/>
      </top>
      <bottom style="thin">
        <color indexed="29"/>
      </bottom>
      <diagonal/>
    </border>
    <border>
      <left style="thin">
        <color auto="1"/>
      </left>
      <right style="medium">
        <color indexed="8"/>
      </right>
      <top style="thin">
        <color indexed="29"/>
      </top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16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8"/>
      </bottom>
      <diagonal/>
    </border>
  </borders>
  <cellStyleXfs count="45">
    <xf numFmtId="0" fontId="0" fillId="0" borderId="0" applyNumberFormat="0" applyFill="0" applyBorder="0" applyProtection="0"/>
    <xf numFmtId="0" fontId="36" fillId="0" borderId="5" applyNumberFormat="0" applyFill="0" applyBorder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64">
    <xf numFmtId="0" fontId="0" fillId="0" borderId="0" xfId="0"/>
    <xf numFmtId="0" fontId="0" fillId="0" borderId="0" xfId="0" applyNumberFormat="1"/>
    <xf numFmtId="0" fontId="0" fillId="0" borderId="2" xfId="0" applyBorder="1"/>
    <xf numFmtId="0" fontId="3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3" borderId="5" xfId="0" applyFont="1" applyFill="1" applyBorder="1" applyAlignment="1">
      <alignment horizontal="left" wrapText="1"/>
    </xf>
    <xf numFmtId="0" fontId="0" fillId="0" borderId="8" xfId="0" applyBorder="1"/>
    <xf numFmtId="0" fontId="0" fillId="3" borderId="10" xfId="0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5" xfId="0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9" fillId="0" borderId="17" xfId="0" applyFont="1" applyBorder="1"/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49" fontId="11" fillId="3" borderId="22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0" fillId="0" borderId="22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49" fontId="18" fillId="3" borderId="31" xfId="0" applyNumberFormat="1" applyFont="1" applyFill="1" applyBorder="1" applyAlignment="1">
      <alignment horizontal="center" vertical="center" wrapText="1"/>
    </xf>
    <xf numFmtId="49" fontId="18" fillId="3" borderId="32" xfId="0" applyNumberFormat="1" applyFont="1" applyFill="1" applyBorder="1" applyAlignment="1">
      <alignment horizontal="center" vertical="center" wrapText="1"/>
    </xf>
    <xf numFmtId="1" fontId="20" fillId="4" borderId="33" xfId="0" applyNumberFormat="1" applyFont="1" applyFill="1" applyBorder="1" applyAlignment="1">
      <alignment horizontal="center" vertical="center" wrapText="1"/>
    </xf>
    <xf numFmtId="1" fontId="20" fillId="4" borderId="34" xfId="0" applyNumberFormat="1" applyFont="1" applyFill="1" applyBorder="1" applyAlignment="1">
      <alignment horizontal="center" vertical="center" wrapText="1"/>
    </xf>
    <xf numFmtId="0" fontId="0" fillId="0" borderId="35" xfId="0" applyBorder="1"/>
    <xf numFmtId="49" fontId="21" fillId="3" borderId="36" xfId="0" applyNumberFormat="1" applyFont="1" applyFill="1" applyBorder="1" applyAlignment="1">
      <alignment horizontal="center" vertical="top" wrapText="1"/>
    </xf>
    <xf numFmtId="49" fontId="22" fillId="3" borderId="36" xfId="0" applyNumberFormat="1" applyFont="1" applyFill="1" applyBorder="1" applyAlignment="1">
      <alignment horizontal="center" vertical="top" wrapText="1"/>
    </xf>
    <xf numFmtId="0" fontId="0" fillId="0" borderId="36" xfId="0" applyBorder="1"/>
    <xf numFmtId="0" fontId="0" fillId="0" borderId="37" xfId="0" applyBorder="1"/>
    <xf numFmtId="0" fontId="0" fillId="3" borderId="37" xfId="0" applyFill="1" applyBorder="1" applyAlignment="1">
      <alignment vertical="top"/>
    </xf>
    <xf numFmtId="0" fontId="23" fillId="3" borderId="37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0" fillId="3" borderId="26" xfId="0" applyFill="1" applyBorder="1" applyAlignment="1">
      <alignment vertical="top"/>
    </xf>
    <xf numFmtId="1" fontId="20" fillId="2" borderId="33" xfId="0" applyNumberFormat="1" applyFont="1" applyFill="1" applyBorder="1" applyAlignment="1">
      <alignment horizontal="center" vertical="center"/>
    </xf>
    <xf numFmtId="1" fontId="20" fillId="2" borderId="34" xfId="0" applyNumberFormat="1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vertical="center" wrapText="1"/>
    </xf>
    <xf numFmtId="0" fontId="0" fillId="0" borderId="39" xfId="0" applyBorder="1"/>
    <xf numFmtId="49" fontId="23" fillId="3" borderId="39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top"/>
    </xf>
    <xf numFmtId="0" fontId="25" fillId="3" borderId="5" xfId="0" applyFont="1" applyFill="1" applyBorder="1" applyAlignment="1">
      <alignment vertical="center" wrapText="1"/>
    </xf>
    <xf numFmtId="0" fontId="0" fillId="3" borderId="7" xfId="0" applyFill="1" applyBorder="1" applyAlignment="1">
      <alignment vertical="top"/>
    </xf>
    <xf numFmtId="0" fontId="24" fillId="3" borderId="40" xfId="0" applyFont="1" applyFill="1" applyBorder="1" applyAlignment="1">
      <alignment vertical="center" wrapText="1"/>
    </xf>
    <xf numFmtId="0" fontId="0" fillId="0" borderId="41" xfId="0" applyBorder="1"/>
    <xf numFmtId="0" fontId="0" fillId="3" borderId="41" xfId="0" applyFill="1" applyBorder="1"/>
    <xf numFmtId="0" fontId="0" fillId="3" borderId="42" xfId="0" applyFill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61" xfId="0" applyBorder="1"/>
    <xf numFmtId="0" fontId="1" fillId="3" borderId="56" xfId="0" applyFont="1" applyFill="1" applyBorder="1"/>
    <xf numFmtId="49" fontId="18" fillId="3" borderId="33" xfId="0" applyNumberFormat="1" applyFont="1" applyFill="1" applyBorder="1" applyAlignment="1">
      <alignment horizontal="center" vertical="center" wrapText="1"/>
    </xf>
    <xf numFmtId="49" fontId="18" fillId="3" borderId="34" xfId="0" applyNumberFormat="1" applyFont="1" applyFill="1" applyBorder="1" applyAlignment="1">
      <alignment horizontal="center" vertical="center" wrapText="1"/>
    </xf>
    <xf numFmtId="0" fontId="0" fillId="3" borderId="66" xfId="0" applyFill="1" applyBorder="1"/>
    <xf numFmtId="1" fontId="0" fillId="3" borderId="27" xfId="0" applyNumberFormat="1" applyFill="1" applyBorder="1" applyAlignment="1">
      <alignment horizontal="right" vertical="center"/>
    </xf>
    <xf numFmtId="1" fontId="0" fillId="3" borderId="28" xfId="0" applyNumberFormat="1" applyFill="1" applyBorder="1" applyAlignment="1">
      <alignment horizontal="right" vertical="center"/>
    </xf>
    <xf numFmtId="1" fontId="0" fillId="3" borderId="27" xfId="0" applyNumberFormat="1" applyFill="1" applyBorder="1" applyAlignment="1">
      <alignment horizontal="center" vertical="center"/>
    </xf>
    <xf numFmtId="1" fontId="0" fillId="3" borderId="28" xfId="0" applyNumberFormat="1" applyFill="1" applyBorder="1" applyAlignment="1">
      <alignment horizontal="center" vertical="center"/>
    </xf>
    <xf numFmtId="0" fontId="0" fillId="0" borderId="67" xfId="0" applyBorder="1"/>
    <xf numFmtId="0" fontId="0" fillId="3" borderId="28" xfId="0" applyNumberFormat="1" applyFill="1" applyBorder="1" applyAlignment="1">
      <alignment horizontal="right" vertical="center"/>
    </xf>
    <xf numFmtId="0" fontId="0" fillId="3" borderId="27" xfId="0" applyNumberFormat="1" applyFill="1" applyBorder="1" applyAlignment="1">
      <alignment horizontal="center" vertical="center"/>
    </xf>
    <xf numFmtId="0" fontId="0" fillId="3" borderId="68" xfId="0" applyNumberFormat="1" applyFill="1" applyBorder="1" applyAlignment="1">
      <alignment horizontal="center" vertical="center"/>
    </xf>
    <xf numFmtId="1" fontId="0" fillId="3" borderId="68" xfId="0" applyNumberFormat="1" applyFill="1" applyBorder="1" applyAlignment="1">
      <alignment horizontal="center" vertical="center"/>
    </xf>
    <xf numFmtId="1" fontId="1" fillId="3" borderId="68" xfId="0" applyNumberFormat="1" applyFont="1" applyFill="1" applyBorder="1" applyAlignment="1">
      <alignment horizontal="center" vertical="center" wrapText="1"/>
    </xf>
    <xf numFmtId="49" fontId="28" fillId="0" borderId="16" xfId="0" applyNumberFormat="1" applyFont="1" applyBorder="1"/>
    <xf numFmtId="1" fontId="0" fillId="3" borderId="31" xfId="0" applyNumberFormat="1" applyFill="1" applyBorder="1" applyAlignment="1">
      <alignment horizontal="right" vertical="center"/>
    </xf>
    <xf numFmtId="1" fontId="0" fillId="3" borderId="32" xfId="0" applyNumberFormat="1" applyFill="1" applyBorder="1" applyAlignment="1">
      <alignment horizontal="right" vertical="center"/>
    </xf>
    <xf numFmtId="1" fontId="0" fillId="3" borderId="31" xfId="0" applyNumberFormat="1" applyFill="1" applyBorder="1" applyAlignment="1">
      <alignment horizontal="center" vertical="center"/>
    </xf>
    <xf numFmtId="1" fontId="0" fillId="3" borderId="32" xfId="0" applyNumberFormat="1" applyFill="1" applyBorder="1" applyAlignment="1">
      <alignment horizontal="center" vertical="center"/>
    </xf>
    <xf numFmtId="0" fontId="0" fillId="3" borderId="32" xfId="0" applyNumberFormat="1" applyFill="1" applyBorder="1" applyAlignment="1">
      <alignment horizontal="right" vertical="center"/>
    </xf>
    <xf numFmtId="0" fontId="0" fillId="3" borderId="31" xfId="0" applyNumberFormat="1" applyFill="1" applyBorder="1" applyAlignment="1">
      <alignment horizontal="center" vertical="center"/>
    </xf>
    <xf numFmtId="0" fontId="0" fillId="3" borderId="16" xfId="0" applyNumberFormat="1" applyFill="1" applyBorder="1" applyAlignment="1">
      <alignment horizontal="center" vertical="center"/>
    </xf>
    <xf numFmtId="1" fontId="0" fillId="3" borderId="16" xfId="0" applyNumberFormat="1" applyFill="1" applyBorder="1" applyAlignment="1">
      <alignment horizontal="center" vertical="center"/>
    </xf>
    <xf numFmtId="1" fontId="0" fillId="3" borderId="33" xfId="0" applyNumberFormat="1" applyFill="1" applyBorder="1" applyAlignment="1">
      <alignment horizontal="right" vertical="center"/>
    </xf>
    <xf numFmtId="1" fontId="0" fillId="3" borderId="34" xfId="0" applyNumberFormat="1" applyFill="1" applyBorder="1" applyAlignment="1">
      <alignment horizontal="right" vertical="center"/>
    </xf>
    <xf numFmtId="1" fontId="0" fillId="3" borderId="33" xfId="0" applyNumberFormat="1" applyFill="1" applyBorder="1" applyAlignment="1">
      <alignment horizontal="center" vertical="center"/>
    </xf>
    <xf numFmtId="1" fontId="0" fillId="3" borderId="34" xfId="0" applyNumberFormat="1" applyFill="1" applyBorder="1" applyAlignment="1">
      <alignment horizontal="center" vertical="center"/>
    </xf>
    <xf numFmtId="0" fontId="14" fillId="0" borderId="67" xfId="0" applyFont="1" applyBorder="1"/>
    <xf numFmtId="0" fontId="0" fillId="3" borderId="34" xfId="0" applyNumberFormat="1" applyFill="1" applyBorder="1" applyAlignment="1">
      <alignment horizontal="right" vertical="center"/>
    </xf>
    <xf numFmtId="0" fontId="0" fillId="3" borderId="33" xfId="0" applyNumberFormat="1" applyFill="1" applyBorder="1" applyAlignment="1">
      <alignment horizontal="center" vertical="center"/>
    </xf>
    <xf numFmtId="0" fontId="0" fillId="3" borderId="70" xfId="0" applyNumberFormat="1" applyFill="1" applyBorder="1" applyAlignment="1">
      <alignment horizontal="center" vertical="center"/>
    </xf>
    <xf numFmtId="1" fontId="0" fillId="3" borderId="70" xfId="0" applyNumberFormat="1" applyFill="1" applyBorder="1" applyAlignment="1">
      <alignment horizontal="center" vertical="center"/>
    </xf>
    <xf numFmtId="0" fontId="0" fillId="3" borderId="67" xfId="0" applyFill="1" applyBorder="1" applyAlignment="1">
      <alignment horizontal="center" vertical="center"/>
    </xf>
    <xf numFmtId="1" fontId="0" fillId="0" borderId="46" xfId="0" applyNumberFormat="1" applyBorder="1"/>
    <xf numFmtId="2" fontId="0" fillId="0" borderId="46" xfId="0" applyNumberFormat="1" applyBorder="1"/>
    <xf numFmtId="0" fontId="3" fillId="0" borderId="44" xfId="0" applyFont="1" applyBorder="1"/>
    <xf numFmtId="0" fontId="0" fillId="0" borderId="44" xfId="0" applyBorder="1"/>
    <xf numFmtId="0" fontId="0" fillId="0" borderId="71" xfId="0" applyBorder="1"/>
    <xf numFmtId="0" fontId="0" fillId="0" borderId="49" xfId="0" applyBorder="1"/>
    <xf numFmtId="0" fontId="0" fillId="0" borderId="53" xfId="0" applyBorder="1"/>
    <xf numFmtId="0" fontId="0" fillId="0" borderId="15" xfId="0" applyBorder="1"/>
    <xf numFmtId="0" fontId="0" fillId="0" borderId="72" xfId="0" applyBorder="1"/>
    <xf numFmtId="49" fontId="29" fillId="3" borderId="16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0" fontId="29" fillId="3" borderId="17" xfId="0" applyFont="1" applyFill="1" applyBorder="1" applyAlignment="1">
      <alignment horizontal="center" vertical="center" wrapText="1"/>
    </xf>
    <xf numFmtId="49" fontId="29" fillId="3" borderId="16" xfId="0" applyNumberFormat="1" applyFont="1" applyFill="1" applyBorder="1" applyAlignment="1">
      <alignment horizontal="center" vertical="center"/>
    </xf>
    <xf numFmtId="0" fontId="30" fillId="2" borderId="16" xfId="0" applyNumberFormat="1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 wrapText="1"/>
    </xf>
    <xf numFmtId="0" fontId="0" fillId="0" borderId="73" xfId="0" applyBorder="1"/>
    <xf numFmtId="0" fontId="0" fillId="0" borderId="10" xfId="0" applyBorder="1"/>
    <xf numFmtId="49" fontId="32" fillId="3" borderId="16" xfId="0" applyNumberFormat="1" applyFont="1" applyFill="1" applyBorder="1" applyAlignment="1">
      <alignment horizontal="center" vertical="center" wrapText="1"/>
    </xf>
    <xf numFmtId="0" fontId="0" fillId="0" borderId="74" xfId="0" applyBorder="1"/>
    <xf numFmtId="0" fontId="12" fillId="3" borderId="22" xfId="0" applyFont="1" applyFill="1" applyBorder="1" applyAlignment="1">
      <alignment horizontal="center" vertical="top" wrapText="1"/>
    </xf>
    <xf numFmtId="0" fontId="0" fillId="0" borderId="38" xfId="0" applyBorder="1"/>
    <xf numFmtId="0" fontId="0" fillId="0" borderId="75" xfId="0" applyBorder="1"/>
    <xf numFmtId="0" fontId="12" fillId="3" borderId="36" xfId="0" applyFont="1" applyFill="1" applyBorder="1" applyAlignment="1">
      <alignment horizontal="center" vertical="top" wrapText="1"/>
    </xf>
    <xf numFmtId="0" fontId="23" fillId="3" borderId="5" xfId="0" applyFont="1" applyFill="1" applyBorder="1" applyAlignment="1">
      <alignment horizontal="center" vertical="center"/>
    </xf>
    <xf numFmtId="0" fontId="0" fillId="0" borderId="76" xfId="0" applyBorder="1"/>
    <xf numFmtId="0" fontId="0" fillId="0" borderId="77" xfId="0" applyBorder="1"/>
    <xf numFmtId="0" fontId="0" fillId="3" borderId="77" xfId="0" applyFill="1" applyBorder="1"/>
    <xf numFmtId="0" fontId="0" fillId="0" borderId="78" xfId="0" applyBorder="1"/>
    <xf numFmtId="0" fontId="0" fillId="3" borderId="56" xfId="0" applyFill="1" applyBorder="1"/>
    <xf numFmtId="0" fontId="0" fillId="3" borderId="28" xfId="0" applyNumberFormat="1" applyFill="1" applyBorder="1" applyAlignment="1">
      <alignment horizontal="center" vertical="center"/>
    </xf>
    <xf numFmtId="0" fontId="0" fillId="3" borderId="32" xfId="0" applyNumberFormat="1" applyFill="1" applyBorder="1" applyAlignment="1">
      <alignment horizontal="center" vertical="center"/>
    </xf>
    <xf numFmtId="0" fontId="0" fillId="3" borderId="34" xfId="0" applyNumberFormat="1" applyFill="1" applyBorder="1" applyAlignment="1">
      <alignment horizontal="center" vertical="center"/>
    </xf>
    <xf numFmtId="0" fontId="0" fillId="0" borderId="43" xfId="0" applyBorder="1"/>
    <xf numFmtId="49" fontId="18" fillId="3" borderId="49" xfId="0" applyNumberFormat="1" applyFont="1" applyFill="1" applyBorder="1" applyAlignment="1">
      <alignment vertical="center"/>
    </xf>
    <xf numFmtId="0" fontId="18" fillId="3" borderId="49" xfId="0" applyFont="1" applyFill="1" applyBorder="1" applyAlignment="1">
      <alignment vertical="center"/>
    </xf>
    <xf numFmtId="0" fontId="18" fillId="3" borderId="5" xfId="0" applyFont="1" applyFill="1" applyBorder="1" applyAlignment="1">
      <alignment vertical="top" wrapText="1"/>
    </xf>
    <xf numFmtId="0" fontId="18" fillId="3" borderId="53" xfId="0" applyFont="1" applyFill="1" applyBorder="1" applyAlignment="1">
      <alignment vertical="top" wrapText="1"/>
    </xf>
    <xf numFmtId="49" fontId="32" fillId="3" borderId="49" xfId="0" applyNumberFormat="1" applyFont="1" applyFill="1" applyBorder="1" applyAlignment="1">
      <alignment vertical="center"/>
    </xf>
    <xf numFmtId="49" fontId="0" fillId="3" borderId="49" xfId="0" applyNumberFormat="1" applyFill="1" applyBorder="1" applyAlignment="1">
      <alignment vertical="center"/>
    </xf>
    <xf numFmtId="0" fontId="0" fillId="3" borderId="49" xfId="0" applyFill="1" applyBorder="1" applyAlignment="1">
      <alignment vertical="center"/>
    </xf>
    <xf numFmtId="0" fontId="35" fillId="3" borderId="49" xfId="0" applyFont="1" applyFill="1" applyBorder="1" applyAlignment="1">
      <alignment vertical="center"/>
    </xf>
    <xf numFmtId="0" fontId="35" fillId="3" borderId="76" xfId="0" applyFont="1" applyFill="1" applyBorder="1" applyAlignment="1">
      <alignment vertical="center"/>
    </xf>
    <xf numFmtId="49" fontId="38" fillId="7" borderId="16" xfId="0" applyNumberFormat="1" applyFont="1" applyFill="1" applyBorder="1" applyAlignment="1">
      <alignment horizontal="center" vertical="center" wrapText="1"/>
    </xf>
    <xf numFmtId="49" fontId="40" fillId="9" borderId="16" xfId="0" applyNumberFormat="1" applyFont="1" applyFill="1" applyBorder="1" applyAlignment="1">
      <alignment horizontal="center" vertical="center" wrapText="1"/>
    </xf>
    <xf numFmtId="0" fontId="41" fillId="9" borderId="16" xfId="0" applyNumberFormat="1" applyFont="1" applyFill="1" applyBorder="1" applyAlignment="1">
      <alignment horizontal="center" vertical="center"/>
    </xf>
    <xf numFmtId="49" fontId="6" fillId="8" borderId="16" xfId="0" applyNumberFormat="1" applyFont="1" applyFill="1" applyBorder="1" applyAlignment="1">
      <alignment horizontal="center" vertical="center" wrapText="1"/>
    </xf>
    <xf numFmtId="49" fontId="42" fillId="7" borderId="16" xfId="0" applyNumberFormat="1" applyFont="1" applyFill="1" applyBorder="1" applyAlignment="1">
      <alignment horizontal="center" vertical="center" wrapText="1"/>
    </xf>
    <xf numFmtId="49" fontId="7" fillId="9" borderId="16" xfId="0" applyNumberFormat="1" applyFont="1" applyFill="1" applyBorder="1" applyAlignment="1">
      <alignment horizontal="center" vertical="center" wrapText="1"/>
    </xf>
    <xf numFmtId="49" fontId="44" fillId="11" borderId="16" xfId="0" applyNumberFormat="1" applyFont="1" applyFill="1" applyBorder="1" applyAlignment="1">
      <alignment horizontal="center" vertical="center" wrapText="1"/>
    </xf>
    <xf numFmtId="1" fontId="46" fillId="11" borderId="16" xfId="0" applyNumberFormat="1" applyFont="1" applyFill="1" applyBorder="1" applyAlignment="1">
      <alignment horizontal="center" vertical="center"/>
    </xf>
    <xf numFmtId="1" fontId="20" fillId="9" borderId="33" xfId="0" applyNumberFormat="1" applyFont="1" applyFill="1" applyBorder="1" applyAlignment="1">
      <alignment horizontal="center" vertical="center"/>
    </xf>
    <xf numFmtId="1" fontId="20" fillId="9" borderId="34" xfId="0" applyNumberFormat="1" applyFont="1" applyFill="1" applyBorder="1" applyAlignment="1">
      <alignment horizontal="center" vertical="center"/>
    </xf>
    <xf numFmtId="49" fontId="6" fillId="14" borderId="16" xfId="0" applyNumberFormat="1" applyFont="1" applyFill="1" applyBorder="1" applyAlignment="1">
      <alignment horizontal="center" vertical="center" wrapText="1"/>
    </xf>
    <xf numFmtId="0" fontId="0" fillId="3" borderId="7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5" xfId="0" applyNumberFormat="1" applyBorder="1"/>
    <xf numFmtId="1" fontId="0" fillId="0" borderId="52" xfId="0" applyNumberFormat="1" applyBorder="1"/>
    <xf numFmtId="0" fontId="0" fillId="3" borderId="5" xfId="0" applyFill="1" applyBorder="1" applyAlignment="1">
      <alignment horizontal="left" vertical="center"/>
    </xf>
    <xf numFmtId="49" fontId="14" fillId="3" borderId="5" xfId="0" applyNumberFormat="1" applyFont="1" applyFill="1" applyBorder="1" applyAlignment="1">
      <alignment horizontal="center" vertical="center"/>
    </xf>
    <xf numFmtId="49" fontId="0" fillId="0" borderId="5" xfId="0" applyNumberFormat="1" applyBorder="1"/>
    <xf numFmtId="49" fontId="18" fillId="0" borderId="5" xfId="0" applyNumberFormat="1" applyFont="1" applyBorder="1"/>
    <xf numFmtId="0" fontId="0" fillId="0" borderId="84" xfId="0" applyBorder="1"/>
    <xf numFmtId="0" fontId="1" fillId="3" borderId="83" xfId="0" applyFont="1" applyFill="1" applyBorder="1"/>
    <xf numFmtId="0" fontId="0" fillId="3" borderId="85" xfId="0" applyFill="1" applyBorder="1"/>
    <xf numFmtId="49" fontId="0" fillId="3" borderId="86" xfId="0" applyNumberFormat="1" applyFill="1" applyBorder="1" applyAlignment="1">
      <alignment horizontal="right" vertical="center"/>
    </xf>
    <xf numFmtId="0" fontId="0" fillId="0" borderId="87" xfId="0" applyBorder="1"/>
    <xf numFmtId="49" fontId="28" fillId="0" borderId="93" xfId="0" applyNumberFormat="1" applyFont="1" applyBorder="1"/>
    <xf numFmtId="1" fontId="0" fillId="3" borderId="80" xfId="0" applyNumberFormat="1" applyFill="1" applyBorder="1" applyAlignment="1">
      <alignment horizontal="center" vertical="center"/>
    </xf>
    <xf numFmtId="1" fontId="0" fillId="3" borderId="81" xfId="0" applyNumberFormat="1" applyFill="1" applyBorder="1" applyAlignment="1">
      <alignment horizontal="center" vertical="center"/>
    </xf>
    <xf numFmtId="1" fontId="0" fillId="3" borderId="82" xfId="0" applyNumberFormat="1" applyFill="1" applyBorder="1" applyAlignment="1">
      <alignment horizontal="center" vertical="center"/>
    </xf>
    <xf numFmtId="49" fontId="18" fillId="3" borderId="89" xfId="0" applyNumberFormat="1" applyFont="1" applyFill="1" applyBorder="1" applyAlignment="1">
      <alignment horizontal="center" vertical="center" wrapText="1"/>
    </xf>
    <xf numFmtId="49" fontId="18" fillId="3" borderId="88" xfId="0" applyNumberFormat="1" applyFont="1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/>
    </xf>
    <xf numFmtId="1" fontId="0" fillId="3" borderId="92" xfId="0" applyNumberFormat="1" applyFill="1" applyBorder="1" applyAlignment="1">
      <alignment horizontal="right" vertical="center"/>
    </xf>
    <xf numFmtId="1" fontId="0" fillId="3" borderId="91" xfId="0" applyNumberFormat="1" applyFill="1" applyBorder="1" applyAlignment="1">
      <alignment horizontal="right" vertical="center"/>
    </xf>
    <xf numFmtId="1" fontId="0" fillId="3" borderId="92" xfId="0" applyNumberFormat="1" applyFill="1" applyBorder="1" applyAlignment="1">
      <alignment horizontal="center" vertical="center"/>
    </xf>
    <xf numFmtId="1" fontId="0" fillId="3" borderId="91" xfId="0" applyNumberFormat="1" applyFill="1" applyBorder="1" applyAlignment="1">
      <alignment horizontal="center" vertical="center"/>
    </xf>
    <xf numFmtId="1" fontId="0" fillId="3" borderId="106" xfId="0" applyNumberFormat="1" applyFill="1" applyBorder="1" applyAlignment="1">
      <alignment horizontal="center" vertical="center"/>
    </xf>
    <xf numFmtId="1" fontId="0" fillId="0" borderId="5" xfId="0" applyNumberFormat="1" applyBorder="1"/>
    <xf numFmtId="2" fontId="0" fillId="0" borderId="5" xfId="0" applyNumberFormat="1" applyBorder="1"/>
    <xf numFmtId="0" fontId="0" fillId="3" borderId="91" xfId="0" applyNumberFormat="1" applyFill="1" applyBorder="1" applyAlignment="1">
      <alignment horizontal="right" vertical="center"/>
    </xf>
    <xf numFmtId="0" fontId="0" fillId="3" borderId="92" xfId="0" applyNumberFormat="1" applyFill="1" applyBorder="1" applyAlignment="1">
      <alignment horizontal="center" vertical="center"/>
    </xf>
    <xf numFmtId="0" fontId="0" fillId="3" borderId="90" xfId="0" applyNumberFormat="1" applyFill="1" applyBorder="1" applyAlignment="1">
      <alignment horizontal="center" vertical="center"/>
    </xf>
    <xf numFmtId="1" fontId="0" fillId="3" borderId="90" xfId="0" applyNumberFormat="1" applyFill="1" applyBorder="1" applyAlignment="1">
      <alignment horizontal="center" vertical="center"/>
    </xf>
    <xf numFmtId="49" fontId="18" fillId="3" borderId="82" xfId="0" applyNumberFormat="1" applyFont="1" applyFill="1" applyBorder="1" applyAlignment="1">
      <alignment horizontal="center" vertical="center" wrapText="1"/>
    </xf>
    <xf numFmtId="0" fontId="0" fillId="0" borderId="114" xfId="0" applyBorder="1"/>
    <xf numFmtId="49" fontId="18" fillId="3" borderId="101" xfId="0" applyNumberFormat="1" applyFont="1" applyFill="1" applyBorder="1" applyAlignment="1">
      <alignment horizontal="center" vertical="center" wrapText="1"/>
    </xf>
    <xf numFmtId="49" fontId="18" fillId="3" borderId="102" xfId="0" applyNumberFormat="1" applyFont="1" applyFill="1" applyBorder="1" applyAlignment="1">
      <alignment horizontal="center" vertical="center" wrapText="1"/>
    </xf>
    <xf numFmtId="0" fontId="0" fillId="3" borderId="91" xfId="0" applyNumberFormat="1" applyFill="1" applyBorder="1" applyAlignment="1">
      <alignment horizontal="center" vertical="center"/>
    </xf>
    <xf numFmtId="0" fontId="8" fillId="10" borderId="16" xfId="0" applyNumberFormat="1" applyFont="1" applyFill="1" applyBorder="1" applyAlignment="1" applyProtection="1">
      <alignment horizontal="center" vertical="center"/>
      <protection locked="0"/>
    </xf>
    <xf numFmtId="49" fontId="10" fillId="10" borderId="16" xfId="0" applyNumberFormat="1" applyFont="1" applyFill="1" applyBorder="1" applyAlignment="1" applyProtection="1">
      <alignment horizontal="center" vertical="center"/>
      <protection locked="0"/>
    </xf>
    <xf numFmtId="0" fontId="10" fillId="10" borderId="16" xfId="0" applyNumberFormat="1" applyFont="1" applyFill="1" applyBorder="1" applyAlignment="1" applyProtection="1">
      <alignment horizontal="center" vertical="center"/>
      <protection locked="0"/>
    </xf>
    <xf numFmtId="0" fontId="8" fillId="6" borderId="16" xfId="0" applyNumberFormat="1" applyFont="1" applyFill="1" applyBorder="1" applyAlignment="1" applyProtection="1">
      <alignment horizontal="center" vertical="center"/>
      <protection locked="0"/>
    </xf>
    <xf numFmtId="49" fontId="8" fillId="6" borderId="16" xfId="0" applyNumberFormat="1" applyFont="1" applyFill="1" applyBorder="1" applyAlignment="1" applyProtection="1">
      <alignment horizontal="center" vertical="center"/>
      <protection locked="0"/>
    </xf>
    <xf numFmtId="1" fontId="1" fillId="3" borderId="127" xfId="0" applyNumberFormat="1" applyFont="1" applyFill="1" applyBorder="1" applyAlignment="1">
      <alignment horizontal="center" vertical="center"/>
    </xf>
    <xf numFmtId="1" fontId="20" fillId="2" borderId="127" xfId="0" applyNumberFormat="1" applyFont="1" applyFill="1" applyBorder="1" applyAlignment="1">
      <alignment horizontal="center" vertical="center"/>
    </xf>
    <xf numFmtId="1" fontId="20" fillId="2" borderId="88" xfId="0" applyNumberFormat="1" applyFont="1" applyFill="1" applyBorder="1" applyAlignment="1">
      <alignment horizontal="center" vertical="center"/>
    </xf>
    <xf numFmtId="0" fontId="0" fillId="0" borderId="128" xfId="0" applyBorder="1"/>
    <xf numFmtId="1" fontId="1" fillId="3" borderId="128" xfId="0" applyNumberFormat="1" applyFont="1" applyFill="1" applyBorder="1" applyAlignment="1">
      <alignment horizontal="center" vertical="center" wrapText="1"/>
    </xf>
    <xf numFmtId="0" fontId="0" fillId="0" borderId="129" xfId="0" applyBorder="1"/>
    <xf numFmtId="1" fontId="1" fillId="3" borderId="130" xfId="0" applyNumberFormat="1" applyFont="1" applyFill="1" applyBorder="1" applyAlignment="1">
      <alignment horizontal="center" vertical="center" wrapText="1"/>
    </xf>
    <xf numFmtId="49" fontId="0" fillId="0" borderId="84" xfId="0" applyNumberFormat="1" applyBorder="1"/>
    <xf numFmtId="0" fontId="0" fillId="0" borderId="131" xfId="0" applyBorder="1"/>
    <xf numFmtId="0" fontId="0" fillId="0" borderId="132" xfId="0" applyBorder="1"/>
    <xf numFmtId="0" fontId="0" fillId="0" borderId="133" xfId="0" applyBorder="1"/>
    <xf numFmtId="1" fontId="14" fillId="3" borderId="5" xfId="0" applyNumberFormat="1" applyFont="1" applyFill="1" applyBorder="1" applyAlignment="1">
      <alignment horizontal="center" vertical="center"/>
    </xf>
    <xf numFmtId="0" fontId="0" fillId="0" borderId="134" xfId="0" applyBorder="1"/>
    <xf numFmtId="0" fontId="0" fillId="3" borderId="135" xfId="0" applyFill="1" applyBorder="1"/>
    <xf numFmtId="0" fontId="0" fillId="3" borderId="136" xfId="0" applyFill="1" applyBorder="1"/>
    <xf numFmtId="49" fontId="0" fillId="3" borderId="137" xfId="0" applyNumberFormat="1" applyFill="1" applyBorder="1" applyAlignment="1">
      <alignment horizontal="right" vertical="center"/>
    </xf>
    <xf numFmtId="49" fontId="0" fillId="3" borderId="138" xfId="0" applyNumberFormat="1" applyFill="1" applyBorder="1" applyAlignment="1">
      <alignment horizontal="right" vertical="center"/>
    </xf>
    <xf numFmtId="0" fontId="1" fillId="3" borderId="135" xfId="0" applyFont="1" applyFill="1" applyBorder="1"/>
    <xf numFmtId="49" fontId="0" fillId="3" borderId="139" xfId="0" applyNumberFormat="1" applyFill="1" applyBorder="1" applyAlignment="1">
      <alignment horizontal="right" vertical="center"/>
    </xf>
    <xf numFmtId="0" fontId="0" fillId="0" borderId="84" xfId="0" applyNumberFormat="1" applyBorder="1"/>
    <xf numFmtId="0" fontId="54" fillId="0" borderId="5" xfId="0" applyFont="1" applyBorder="1"/>
    <xf numFmtId="0" fontId="0" fillId="0" borderId="140" xfId="0" applyBorder="1"/>
    <xf numFmtId="0" fontId="11" fillId="3" borderId="22" xfId="0" applyNumberFormat="1" applyFont="1" applyFill="1" applyBorder="1" applyAlignment="1">
      <alignment horizontal="center" vertical="top" wrapText="1"/>
    </xf>
    <xf numFmtId="0" fontId="58" fillId="3" borderId="22" xfId="0" applyNumberFormat="1" applyFont="1" applyFill="1" applyBorder="1" applyAlignment="1">
      <alignment horizontal="center" vertical="top" wrapText="1"/>
    </xf>
    <xf numFmtId="49" fontId="59" fillId="3" borderId="49" xfId="0" applyNumberFormat="1" applyFont="1" applyFill="1" applyBorder="1" applyAlignment="1">
      <alignment vertical="top" wrapText="1"/>
    </xf>
    <xf numFmtId="49" fontId="62" fillId="3" borderId="49" xfId="0" applyNumberFormat="1" applyFont="1" applyFill="1" applyBorder="1" applyAlignment="1">
      <alignment vertical="center"/>
    </xf>
    <xf numFmtId="0" fontId="63" fillId="0" borderId="0" xfId="0" applyFont="1" applyAlignment="1">
      <alignment horizontal="center" wrapText="1"/>
    </xf>
    <xf numFmtId="0" fontId="66" fillId="7" borderId="22" xfId="0" applyNumberFormat="1" applyFont="1" applyFill="1" applyBorder="1" applyAlignment="1">
      <alignment horizontal="center" vertical="top" wrapText="1"/>
    </xf>
    <xf numFmtId="0" fontId="66" fillId="3" borderId="22" xfId="0" applyNumberFormat="1" applyFont="1" applyFill="1" applyBorder="1" applyAlignment="1">
      <alignment horizontal="center" vertical="top" wrapText="1"/>
    </xf>
    <xf numFmtId="49" fontId="67" fillId="3" borderId="5" xfId="0" applyNumberFormat="1" applyFont="1" applyFill="1" applyBorder="1" applyAlignment="1">
      <alignment horizontal="center" vertical="center" wrapText="1"/>
    </xf>
    <xf numFmtId="49" fontId="67" fillId="3" borderId="5" xfId="0" applyNumberFormat="1" applyFont="1" applyFill="1" applyBorder="1" applyAlignment="1">
      <alignment horizontal="center" vertical="center" wrapText="1"/>
    </xf>
    <xf numFmtId="49" fontId="2" fillId="9" borderId="43" xfId="0" applyNumberFormat="1" applyFont="1" applyFill="1" applyBorder="1" applyAlignment="1">
      <alignment horizontal="center"/>
    </xf>
    <xf numFmtId="0" fontId="2" fillId="9" borderId="44" xfId="0" applyFont="1" applyFill="1" applyBorder="1" applyAlignment="1">
      <alignment horizontal="center"/>
    </xf>
    <xf numFmtId="49" fontId="3" fillId="12" borderId="44" xfId="0" applyNumberFormat="1" applyFont="1" applyFill="1" applyBorder="1" applyAlignment="1">
      <alignment horizontal="center"/>
    </xf>
    <xf numFmtId="0" fontId="3" fillId="12" borderId="44" xfId="0" applyFont="1" applyFill="1" applyBorder="1" applyAlignment="1">
      <alignment horizontal="center"/>
    </xf>
    <xf numFmtId="49" fontId="5" fillId="3" borderId="49" xfId="0" applyNumberFormat="1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49" fontId="55" fillId="3" borderId="9" xfId="0" applyNumberFormat="1" applyFont="1" applyFill="1" applyBorder="1" applyAlignment="1">
      <alignment horizontal="center" vertical="center" wrapText="1"/>
    </xf>
    <xf numFmtId="0" fontId="55" fillId="3" borderId="10" xfId="0" applyFont="1" applyFill="1" applyBorder="1" applyAlignment="1">
      <alignment horizontal="center" vertical="center" wrapText="1"/>
    </xf>
    <xf numFmtId="0" fontId="55" fillId="3" borderId="11" xfId="0" applyFont="1" applyFill="1" applyBorder="1" applyAlignment="1">
      <alignment horizontal="center" vertical="center" wrapText="1"/>
    </xf>
    <xf numFmtId="0" fontId="55" fillId="3" borderId="15" xfId="0" applyFont="1" applyFill="1" applyBorder="1" applyAlignment="1">
      <alignment horizontal="center" vertical="center" wrapText="1"/>
    </xf>
    <xf numFmtId="0" fontId="55" fillId="3" borderId="5" xfId="0" applyFont="1" applyFill="1" applyBorder="1" applyAlignment="1">
      <alignment horizontal="center" vertical="center" wrapText="1"/>
    </xf>
    <xf numFmtId="0" fontId="55" fillId="3" borderId="8" xfId="0" applyFont="1" applyFill="1" applyBorder="1" applyAlignment="1">
      <alignment horizontal="center" vertical="center" wrapText="1"/>
    </xf>
    <xf numFmtId="0" fontId="55" fillId="3" borderId="19" xfId="0" applyFont="1" applyFill="1" applyBorder="1" applyAlignment="1">
      <alignment horizontal="center" vertical="center" wrapText="1"/>
    </xf>
    <xf numFmtId="0" fontId="55" fillId="3" borderId="6" xfId="0" applyFont="1" applyFill="1" applyBorder="1" applyAlignment="1">
      <alignment horizontal="center" vertical="center" wrapText="1"/>
    </xf>
    <xf numFmtId="0" fontId="55" fillId="3" borderId="20" xfId="0" applyFont="1" applyFill="1" applyBorder="1" applyAlignment="1">
      <alignment horizontal="center" vertical="center" wrapText="1"/>
    </xf>
    <xf numFmtId="49" fontId="14" fillId="3" borderId="27" xfId="0" applyNumberFormat="1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49" fontId="52" fillId="3" borderId="16" xfId="0" applyNumberFormat="1" applyFont="1" applyFill="1" applyBorder="1" applyAlignment="1">
      <alignment horizontal="center" vertical="center" wrapText="1"/>
    </xf>
    <xf numFmtId="0" fontId="52" fillId="3" borderId="16" xfId="0" applyFont="1" applyFill="1" applyBorder="1" applyAlignment="1">
      <alignment horizontal="center" vertical="center" wrapText="1"/>
    </xf>
    <xf numFmtId="0" fontId="57" fillId="0" borderId="141" xfId="0" applyFont="1" applyBorder="1"/>
    <xf numFmtId="0" fontId="55" fillId="0" borderId="5" xfId="0" applyFont="1" applyBorder="1"/>
    <xf numFmtId="0" fontId="57" fillId="0" borderId="142" xfId="0" applyFont="1" applyBorder="1" applyAlignment="1">
      <alignment horizontal="left" vertical="top"/>
    </xf>
    <xf numFmtId="0" fontId="56" fillId="0" borderId="25" xfId="0" applyFont="1" applyBorder="1" applyAlignment="1">
      <alignment horizontal="left" vertical="top"/>
    </xf>
    <xf numFmtId="0" fontId="0" fillId="3" borderId="38" xfId="0" applyFill="1" applyBorder="1" applyAlignment="1">
      <alignment horizontal="center" wrapText="1"/>
    </xf>
    <xf numFmtId="0" fontId="0" fillId="3" borderId="53" xfId="0" applyFill="1" applyBorder="1" applyAlignment="1">
      <alignment horizontal="center" wrapText="1"/>
    </xf>
    <xf numFmtId="49" fontId="14" fillId="3" borderId="27" xfId="0" applyNumberFormat="1" applyFont="1" applyFill="1" applyBorder="1" applyAlignment="1">
      <alignment horizontal="center" vertical="center" wrapText="1"/>
    </xf>
    <xf numFmtId="49" fontId="16" fillId="3" borderId="16" xfId="0" applyNumberFormat="1" applyFont="1" applyFill="1" applyBorder="1" applyAlignment="1">
      <alignment horizontal="left" vertical="center" wrapText="1"/>
    </xf>
    <xf numFmtId="0" fontId="16" fillId="3" borderId="16" xfId="0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left" wrapText="1"/>
    </xf>
    <xf numFmtId="49" fontId="48" fillId="3" borderId="23" xfId="0" applyNumberFormat="1" applyFont="1" applyFill="1" applyBorder="1" applyAlignment="1">
      <alignment horizontal="center" vertical="center" wrapText="1"/>
    </xf>
    <xf numFmtId="0" fontId="48" fillId="3" borderId="23" xfId="0" applyFont="1" applyFill="1" applyBorder="1" applyAlignment="1">
      <alignment horizontal="center" vertical="center" wrapText="1"/>
    </xf>
    <xf numFmtId="49" fontId="2" fillId="15" borderId="43" xfId="0" applyNumberFormat="1" applyFont="1" applyFill="1" applyBorder="1" applyAlignment="1">
      <alignment horizontal="center"/>
    </xf>
    <xf numFmtId="0" fontId="2" fillId="15" borderId="44" xfId="0" applyFont="1" applyFill="1" applyBorder="1" applyAlignment="1">
      <alignment horizontal="center"/>
    </xf>
    <xf numFmtId="49" fontId="20" fillId="15" borderId="49" xfId="0" applyNumberFormat="1" applyFont="1" applyFill="1" applyBorder="1" applyAlignment="1">
      <alignment horizontal="left" vertical="center"/>
    </xf>
    <xf numFmtId="0" fontId="20" fillId="15" borderId="5" xfId="0" applyFont="1" applyFill="1" applyBorder="1" applyAlignment="1">
      <alignment horizontal="left" vertical="center"/>
    </xf>
    <xf numFmtId="49" fontId="20" fillId="5" borderId="5" xfId="0" applyNumberFormat="1" applyFont="1" applyFill="1" applyBorder="1" applyAlignment="1">
      <alignment horizontal="left" vertical="center"/>
    </xf>
    <xf numFmtId="0" fontId="20" fillId="5" borderId="5" xfId="0" applyFont="1" applyFill="1" applyBorder="1" applyAlignment="1">
      <alignment horizontal="left" vertical="center"/>
    </xf>
    <xf numFmtId="49" fontId="26" fillId="5" borderId="5" xfId="0" applyNumberFormat="1" applyFont="1" applyFill="1" applyBorder="1" applyAlignment="1">
      <alignment horizontal="left"/>
    </xf>
    <xf numFmtId="0" fontId="26" fillId="5" borderId="5" xfId="0" applyFont="1" applyFill="1" applyBorder="1" applyAlignment="1">
      <alignment horizontal="left"/>
    </xf>
    <xf numFmtId="0" fontId="26" fillId="5" borderId="53" xfId="0" applyFont="1" applyFill="1" applyBorder="1" applyAlignment="1">
      <alignment horizontal="left"/>
    </xf>
    <xf numFmtId="49" fontId="18" fillId="3" borderId="27" xfId="0" applyNumberFormat="1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49" fontId="51" fillId="2" borderId="27" xfId="0" applyNumberFormat="1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49" fontId="18" fillId="3" borderId="27" xfId="0" applyNumberFormat="1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/>
    </xf>
    <xf numFmtId="49" fontId="18" fillId="3" borderId="99" xfId="0" applyNumberFormat="1" applyFont="1" applyFill="1" applyBorder="1" applyAlignment="1">
      <alignment horizontal="center" vertical="center" wrapText="1"/>
    </xf>
    <xf numFmtId="0" fontId="18" fillId="3" borderId="100" xfId="0" applyFont="1" applyFill="1" applyBorder="1" applyAlignment="1">
      <alignment horizontal="center" vertical="center" wrapText="1"/>
    </xf>
    <xf numFmtId="49" fontId="18" fillId="0" borderId="58" xfId="0" applyNumberFormat="1" applyFont="1" applyBorder="1" applyAlignment="1">
      <alignment horizontal="center" wrapText="1"/>
    </xf>
    <xf numFmtId="0" fontId="18" fillId="3" borderId="63" xfId="0" applyFont="1" applyFill="1" applyBorder="1" applyAlignment="1">
      <alignment horizontal="center" vertical="center" wrapText="1"/>
    </xf>
    <xf numFmtId="49" fontId="18" fillId="0" borderId="59" xfId="0" applyNumberFormat="1" applyFont="1" applyBorder="1" applyAlignment="1">
      <alignment horizontal="center" wrapText="1"/>
    </xf>
    <xf numFmtId="0" fontId="18" fillId="3" borderId="64" xfId="0" applyFont="1" applyFill="1" applyBorder="1" applyAlignment="1">
      <alignment horizontal="center" vertical="center" wrapText="1"/>
    </xf>
    <xf numFmtId="49" fontId="59" fillId="0" borderId="60" xfId="0" applyNumberFormat="1" applyFont="1" applyBorder="1" applyAlignment="1">
      <alignment horizontal="center" wrapText="1"/>
    </xf>
    <xf numFmtId="0" fontId="18" fillId="3" borderId="65" xfId="0" applyFont="1" applyFill="1" applyBorder="1" applyAlignment="1">
      <alignment horizontal="center" vertical="center" wrapText="1"/>
    </xf>
    <xf numFmtId="0" fontId="0" fillId="0" borderId="31" xfId="0" applyNumberFormat="1" applyBorder="1"/>
    <xf numFmtId="0" fontId="0" fillId="0" borderId="32" xfId="0" applyBorder="1"/>
    <xf numFmtId="0" fontId="0" fillId="6" borderId="31" xfId="0" applyNumberFormat="1" applyFill="1" applyBorder="1" applyAlignment="1">
      <alignment vertical="center" wrapText="1"/>
    </xf>
    <xf numFmtId="0" fontId="0" fillId="6" borderId="32" xfId="0" applyFill="1" applyBorder="1" applyAlignment="1">
      <alignment vertical="center" wrapText="1"/>
    </xf>
    <xf numFmtId="49" fontId="0" fillId="3" borderId="27" xfId="0" applyNumberFormat="1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1" fontId="20" fillId="2" borderId="31" xfId="0" applyNumberFormat="1" applyFont="1" applyFill="1" applyBorder="1" applyAlignment="1">
      <alignment horizontal="center" vertical="center" wrapText="1"/>
    </xf>
    <xf numFmtId="1" fontId="20" fillId="2" borderId="32" xfId="0" applyNumberFormat="1" applyFont="1" applyFill="1" applyBorder="1" applyAlignment="1">
      <alignment horizontal="center" vertical="center" wrapText="1"/>
    </xf>
    <xf numFmtId="49" fontId="18" fillId="0" borderId="32" xfId="0" applyNumberFormat="1" applyFont="1" applyBorder="1" applyAlignment="1">
      <alignment horizontal="center" wrapText="1"/>
    </xf>
    <xf numFmtId="0" fontId="18" fillId="3" borderId="34" xfId="0" applyFont="1" applyFill="1" applyBorder="1" applyAlignment="1">
      <alignment horizontal="center" vertical="center" wrapText="1"/>
    </xf>
    <xf numFmtId="1" fontId="20" fillId="2" borderId="62" xfId="0" applyNumberFormat="1" applyFont="1" applyFill="1" applyBorder="1" applyAlignment="1">
      <alignment horizontal="center" vertical="center" wrapText="1"/>
    </xf>
    <xf numFmtId="1" fontId="20" fillId="2" borderId="22" xfId="0" applyNumberFormat="1" applyFont="1" applyFill="1" applyBorder="1" applyAlignment="1">
      <alignment horizontal="center" vertical="center" wrapText="1"/>
    </xf>
    <xf numFmtId="0" fontId="0" fillId="6" borderId="101" xfId="0" applyNumberFormat="1" applyFill="1" applyBorder="1" applyAlignment="1">
      <alignment vertical="center" wrapText="1"/>
    </xf>
    <xf numFmtId="0" fontId="0" fillId="6" borderId="102" xfId="0" applyFill="1" applyBorder="1" applyAlignment="1">
      <alignment vertical="center" wrapText="1"/>
    </xf>
    <xf numFmtId="1" fontId="1" fillId="3" borderId="27" xfId="0" applyNumberFormat="1" applyFont="1" applyFill="1" applyBorder="1" applyAlignment="1">
      <alignment horizontal="center" vertical="center"/>
    </xf>
    <xf numFmtId="1" fontId="1" fillId="3" borderId="31" xfId="0" applyNumberFormat="1" applyFont="1" applyFill="1" applyBorder="1" applyAlignment="1">
      <alignment horizontal="center" vertical="center"/>
    </xf>
    <xf numFmtId="1" fontId="1" fillId="3" borderId="33" xfId="0" applyNumberFormat="1" applyFont="1" applyFill="1" applyBorder="1" applyAlignment="1">
      <alignment horizontal="center" vertical="center"/>
    </xf>
    <xf numFmtId="1" fontId="1" fillId="3" borderId="80" xfId="0" applyNumberFormat="1" applyFont="1" applyFill="1" applyBorder="1" applyAlignment="1">
      <alignment horizontal="center" vertical="center"/>
    </xf>
    <xf numFmtId="1" fontId="1" fillId="3" borderId="81" xfId="0" applyNumberFormat="1" applyFont="1" applyFill="1" applyBorder="1" applyAlignment="1">
      <alignment horizontal="center" vertical="center"/>
    </xf>
    <xf numFmtId="1" fontId="1" fillId="3" borderId="82" xfId="0" applyNumberFormat="1" applyFont="1" applyFill="1" applyBorder="1" applyAlignment="1">
      <alignment horizontal="center" vertical="center"/>
    </xf>
    <xf numFmtId="1" fontId="1" fillId="3" borderId="101" xfId="0" applyNumberFormat="1" applyFont="1" applyFill="1" applyBorder="1" applyAlignment="1">
      <alignment horizontal="center" vertical="center"/>
    </xf>
    <xf numFmtId="1" fontId="1" fillId="3" borderId="108" xfId="0" applyNumberFormat="1" applyFont="1" applyFill="1" applyBorder="1" applyAlignment="1">
      <alignment horizontal="center" vertical="center"/>
    </xf>
    <xf numFmtId="1" fontId="1" fillId="3" borderId="102" xfId="0" applyNumberFormat="1" applyFont="1" applyFill="1" applyBorder="1" applyAlignment="1">
      <alignment horizontal="center" vertical="center"/>
    </xf>
    <xf numFmtId="1" fontId="1" fillId="3" borderId="106" xfId="0" applyNumberFormat="1" applyFont="1" applyFill="1" applyBorder="1" applyAlignment="1">
      <alignment horizontal="center" vertical="center"/>
    </xf>
    <xf numFmtId="1" fontId="0" fillId="3" borderId="58" xfId="0" applyNumberFormat="1" applyFill="1" applyBorder="1" applyAlignment="1">
      <alignment horizontal="center" vertical="center"/>
    </xf>
    <xf numFmtId="1" fontId="0" fillId="3" borderId="69" xfId="0" applyNumberFormat="1" applyFill="1" applyBorder="1" applyAlignment="1">
      <alignment horizontal="center" vertical="center"/>
    </xf>
    <xf numFmtId="1" fontId="0" fillId="3" borderId="63" xfId="0" applyNumberFormat="1" applyFill="1" applyBorder="1" applyAlignment="1">
      <alignment horizontal="center" vertical="center"/>
    </xf>
    <xf numFmtId="1" fontId="1" fillId="3" borderId="103" xfId="0" applyNumberFormat="1" applyFont="1" applyFill="1" applyBorder="1" applyAlignment="1">
      <alignment horizontal="center" vertical="center"/>
    </xf>
    <xf numFmtId="1" fontId="1" fillId="3" borderId="104" xfId="0" applyNumberFormat="1" applyFont="1" applyFill="1" applyBorder="1" applyAlignment="1">
      <alignment horizontal="center" vertical="center"/>
    </xf>
    <xf numFmtId="1" fontId="1" fillId="3" borderId="110" xfId="0" applyNumberFormat="1" applyFont="1" applyFill="1" applyBorder="1" applyAlignment="1">
      <alignment horizontal="center" vertical="center"/>
    </xf>
    <xf numFmtId="1" fontId="1" fillId="3" borderId="112" xfId="0" applyNumberFormat="1" applyFont="1" applyFill="1" applyBorder="1" applyAlignment="1">
      <alignment horizontal="center" vertical="center"/>
    </xf>
    <xf numFmtId="1" fontId="1" fillId="3" borderId="97" xfId="0" applyNumberFormat="1" applyFont="1" applyFill="1" applyBorder="1" applyAlignment="1">
      <alignment horizontal="center" vertical="center"/>
    </xf>
    <xf numFmtId="1" fontId="1" fillId="3" borderId="111" xfId="0" applyNumberFormat="1" applyFont="1" applyFill="1" applyBorder="1" applyAlignment="1">
      <alignment horizontal="center" vertical="center"/>
    </xf>
    <xf numFmtId="0" fontId="0" fillId="3" borderId="58" xfId="0" applyNumberFormat="1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1" fontId="1" fillId="3" borderId="109" xfId="0" applyNumberFormat="1" applyFont="1" applyFill="1" applyBorder="1" applyAlignment="1">
      <alignment horizontal="center" vertical="center"/>
    </xf>
    <xf numFmtId="1" fontId="1" fillId="3" borderId="96" xfId="0" applyNumberFormat="1" applyFont="1" applyFill="1" applyBorder="1" applyAlignment="1">
      <alignment horizontal="center" vertical="center"/>
    </xf>
    <xf numFmtId="1" fontId="1" fillId="3" borderId="32" xfId="0" applyNumberFormat="1" applyFont="1" applyFill="1" applyBorder="1" applyAlignment="1">
      <alignment horizontal="center" vertical="center"/>
    </xf>
    <xf numFmtId="1" fontId="1" fillId="3" borderId="34" xfId="0" applyNumberFormat="1" applyFont="1" applyFill="1" applyBorder="1" applyAlignment="1">
      <alignment horizontal="center" vertical="center"/>
    </xf>
    <xf numFmtId="1" fontId="0" fillId="3" borderId="107" xfId="0" applyNumberFormat="1" applyFill="1" applyBorder="1" applyAlignment="1">
      <alignment horizontal="center" vertical="center"/>
    </xf>
    <xf numFmtId="1" fontId="1" fillId="3" borderId="105" xfId="0" applyNumberFormat="1" applyFont="1" applyFill="1" applyBorder="1" applyAlignment="1">
      <alignment horizontal="center" vertical="center"/>
    </xf>
    <xf numFmtId="1" fontId="1" fillId="3" borderId="98" xfId="0" applyNumberFormat="1" applyFont="1" applyFill="1" applyBorder="1" applyAlignment="1">
      <alignment horizontal="center" vertical="center"/>
    </xf>
    <xf numFmtId="49" fontId="3" fillId="14" borderId="2" xfId="0" applyNumberFormat="1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49" fontId="2" fillId="13" borderId="1" xfId="0" applyNumberFormat="1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49" fontId="20" fillId="14" borderId="49" xfId="0" applyNumberFormat="1" applyFont="1" applyFill="1" applyBorder="1" applyAlignment="1">
      <alignment horizontal="left" vertical="center"/>
    </xf>
    <xf numFmtId="0" fontId="20" fillId="14" borderId="5" xfId="0" applyFont="1" applyFill="1" applyBorder="1" applyAlignment="1">
      <alignment horizontal="left" vertical="center"/>
    </xf>
    <xf numFmtId="1" fontId="1" fillId="3" borderId="92" xfId="0" applyNumberFormat="1" applyFont="1" applyFill="1" applyBorder="1" applyAlignment="1">
      <alignment horizontal="center" vertical="center"/>
    </xf>
    <xf numFmtId="1" fontId="1" fillId="3" borderId="91" xfId="0" applyNumberFormat="1" applyFont="1" applyFill="1" applyBorder="1" applyAlignment="1">
      <alignment horizontal="center" vertical="center"/>
    </xf>
    <xf numFmtId="0" fontId="0" fillId="3" borderId="107" xfId="0" applyFill="1" applyBorder="1" applyAlignment="1">
      <alignment horizontal="center" vertical="center"/>
    </xf>
    <xf numFmtId="49" fontId="2" fillId="13" borderId="43" xfId="0" applyNumberFormat="1" applyFont="1" applyFill="1" applyBorder="1" applyAlignment="1">
      <alignment horizontal="center"/>
    </xf>
    <xf numFmtId="0" fontId="2" fillId="13" borderId="44" xfId="0" applyFont="1" applyFill="1" applyBorder="1" applyAlignment="1">
      <alignment horizontal="center"/>
    </xf>
    <xf numFmtId="1" fontId="1" fillId="3" borderId="113" xfId="0" applyNumberFormat="1" applyFont="1" applyFill="1" applyBorder="1" applyAlignment="1">
      <alignment horizontal="center" vertical="center"/>
    </xf>
    <xf numFmtId="1" fontId="1" fillId="3" borderId="28" xfId="0" applyNumberFormat="1" applyFont="1" applyFill="1" applyBorder="1" applyAlignment="1">
      <alignment horizontal="center" vertical="center"/>
    </xf>
    <xf numFmtId="1" fontId="1" fillId="3" borderId="94" xfId="0" applyNumberFormat="1" applyFont="1" applyFill="1" applyBorder="1" applyAlignment="1">
      <alignment horizontal="center" vertical="center"/>
    </xf>
    <xf numFmtId="1" fontId="1" fillId="3" borderId="62" xfId="0" applyNumberFormat="1" applyFont="1" applyFill="1" applyBorder="1" applyAlignment="1">
      <alignment horizontal="center" vertical="center"/>
    </xf>
    <xf numFmtId="1" fontId="1" fillId="3" borderId="95" xfId="0" applyNumberFormat="1" applyFont="1" applyFill="1" applyBorder="1" applyAlignment="1">
      <alignment horizontal="center" vertical="center"/>
    </xf>
    <xf numFmtId="49" fontId="0" fillId="0" borderId="32" xfId="0" applyNumberFormat="1" applyBorder="1" applyAlignment="1">
      <alignment wrapText="1"/>
    </xf>
    <xf numFmtId="49" fontId="62" fillId="0" borderId="60" xfId="0" applyNumberFormat="1" applyFont="1" applyBorder="1" applyAlignment="1">
      <alignment wrapText="1"/>
    </xf>
    <xf numFmtId="49" fontId="0" fillId="0" borderId="59" xfId="0" applyNumberFormat="1" applyBorder="1" applyAlignment="1">
      <alignment wrapText="1"/>
    </xf>
    <xf numFmtId="1" fontId="1" fillId="3" borderId="118" xfId="0" applyNumberFormat="1" applyFont="1" applyFill="1" applyBorder="1" applyAlignment="1">
      <alignment horizontal="center" vertical="center"/>
    </xf>
    <xf numFmtId="1" fontId="1" fillId="3" borderId="116" xfId="0" applyNumberFormat="1" applyFont="1" applyFill="1" applyBorder="1" applyAlignment="1">
      <alignment horizontal="center" vertical="center"/>
    </xf>
    <xf numFmtId="1" fontId="1" fillId="3" borderId="119" xfId="0" applyNumberFormat="1" applyFont="1" applyFill="1" applyBorder="1" applyAlignment="1">
      <alignment horizontal="center" vertical="center"/>
    </xf>
    <xf numFmtId="1" fontId="1" fillId="3" borderId="121" xfId="0" applyNumberFormat="1" applyFont="1" applyFill="1" applyBorder="1" applyAlignment="1">
      <alignment horizontal="center" vertical="center"/>
    </xf>
    <xf numFmtId="1" fontId="1" fillId="3" borderId="123" xfId="0" applyNumberFormat="1" applyFont="1" applyFill="1" applyBorder="1" applyAlignment="1">
      <alignment horizontal="center" vertical="center"/>
    </xf>
    <xf numFmtId="1" fontId="1" fillId="3" borderId="125" xfId="0" applyNumberFormat="1" applyFont="1" applyFill="1" applyBorder="1" applyAlignment="1">
      <alignment horizontal="center" vertical="center"/>
    </xf>
    <xf numFmtId="1" fontId="1" fillId="3" borderId="122" xfId="0" applyNumberFormat="1" applyFont="1" applyFill="1" applyBorder="1" applyAlignment="1">
      <alignment horizontal="center" vertical="center"/>
    </xf>
    <xf numFmtId="1" fontId="1" fillId="3" borderId="124" xfId="0" applyNumberFormat="1" applyFont="1" applyFill="1" applyBorder="1" applyAlignment="1">
      <alignment horizontal="center" vertical="center"/>
    </xf>
    <xf numFmtId="1" fontId="1" fillId="3" borderId="126" xfId="0" applyNumberFormat="1" applyFont="1" applyFill="1" applyBorder="1" applyAlignment="1">
      <alignment horizontal="center" vertical="center"/>
    </xf>
    <xf numFmtId="1" fontId="1" fillId="3" borderId="117" xfId="0" applyNumberFormat="1" applyFont="1" applyFill="1" applyBorder="1" applyAlignment="1">
      <alignment horizontal="center" vertical="center"/>
    </xf>
    <xf numFmtId="1" fontId="1" fillId="3" borderId="115" xfId="0" applyNumberFormat="1" applyFont="1" applyFill="1" applyBorder="1" applyAlignment="1">
      <alignment horizontal="center" vertical="center"/>
    </xf>
    <xf numFmtId="49" fontId="2" fillId="16" borderId="43" xfId="0" applyNumberFormat="1" applyFont="1" applyFill="1" applyBorder="1" applyAlignment="1">
      <alignment horizontal="center"/>
    </xf>
    <xf numFmtId="0" fontId="2" fillId="16" borderId="44" xfId="0" applyFont="1" applyFill="1" applyBorder="1" applyAlignment="1">
      <alignment horizontal="center"/>
    </xf>
    <xf numFmtId="0" fontId="0" fillId="6" borderId="104" xfId="0" applyNumberFormat="1" applyFill="1" applyBorder="1" applyAlignment="1">
      <alignment vertical="center" wrapText="1"/>
    </xf>
    <xf numFmtId="0" fontId="0" fillId="6" borderId="120" xfId="0" applyFill="1" applyBorder="1" applyAlignment="1">
      <alignment vertical="center" wrapText="1"/>
    </xf>
    <xf numFmtId="49" fontId="20" fillId="5" borderId="49" xfId="0" applyNumberFormat="1" applyFont="1" applyFill="1" applyBorder="1" applyAlignment="1">
      <alignment horizontal="left" vertical="center"/>
    </xf>
  </cellXfs>
  <cellStyles count="45">
    <cellStyle name="Lien hypertexte" xfId="23" builtinId="8" hidden="1"/>
    <cellStyle name="Lien hypertexte" xfId="25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35" builtinId="8" hidden="1"/>
    <cellStyle name="Lien hypertexte" xfId="27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21" builtinId="8" hidden="1"/>
    <cellStyle name="Lien hypertexte" xfId="19" builtinId="8" hidden="1"/>
    <cellStyle name="Lien hypertexte" xfId="7" builtinId="8" hidden="1"/>
    <cellStyle name="Lien hypertexte" xfId="9" builtinId="8" hidden="1"/>
    <cellStyle name="Lien hypertexte" xfId="5" builtinId="8" hidden="1"/>
    <cellStyle name="Lien hypertexte" xfId="3" builtinId="8" hidden="1"/>
    <cellStyle name="Lien hypertexte visité" xfId="36" builtinId="9" hidden="1"/>
    <cellStyle name="Lien hypertexte visité" xfId="38" builtinId="9" hidden="1"/>
    <cellStyle name="Lien hypertexte visité" xfId="42" builtinId="9" hidden="1"/>
    <cellStyle name="Lien hypertexte visité" xfId="44" builtinId="9" hidden="1"/>
    <cellStyle name="Lien hypertexte visité" xfId="40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24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4" builtinId="9" hidden="1"/>
    <cellStyle name="Lien hypertexte visité" xfId="6" builtinId="9" hidden="1"/>
    <cellStyle name="Lien hypertexte visité" xfId="2" builtinId="9" hidden="1"/>
    <cellStyle name="Normal" xfId="0" builtinId="0"/>
    <cellStyle name="Normal 2" xfId="1" xr:uid="{00000000-0005-0000-0000-00002C000000}"/>
  </cellStyles>
  <dxfs count="27"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FF0000"/>
      </font>
      <fill>
        <patternFill patternType="solid">
          <fgColor indexed="19"/>
          <bgColor indexed="24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fgColor indexed="19"/>
          <bgColor indexed="24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fgColor indexed="19"/>
          <bgColor indexed="24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98A5"/>
      <rgbColor rgb="FF0070C0"/>
      <rgbColor rgb="FFCC9900"/>
      <rgbColor rgb="FFFF0000"/>
      <rgbColor rgb="FFED7D31"/>
      <rgbColor rgb="FFFFCF3F"/>
      <rgbColor rgb="00000000"/>
      <rgbColor rgb="FFFFC7CE"/>
      <rgbColor rgb="FF9C0006"/>
      <rgbColor rgb="FFB15D24"/>
      <rgbColor rgb="FFFFAFAF"/>
      <rgbColor rgb="FFFF9999"/>
      <rgbColor rgb="FF7030A0"/>
      <rgbColor rgb="FF8EAADB"/>
      <rgbColor rgb="FFFF6600"/>
      <rgbColor rgb="FFFFC000"/>
      <rgbColor rgb="FFAAAAAA"/>
      <rgbColor rgb="FFC00000"/>
      <rgbColor rgb="FF92D050"/>
      <rgbColor rgb="FF00B0F0"/>
      <rgbColor rgb="FFA5A5A5"/>
      <rgbColor rgb="FF7F7F7F"/>
      <rgbColor rgb="FF00B050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352426</xdr:colOff>
      <xdr:row>0</xdr:row>
      <xdr:rowOff>9526</xdr:rowOff>
    </xdr:from>
    <xdr:to>
      <xdr:col>4</xdr:col>
      <xdr:colOff>771698</xdr:colOff>
      <xdr:row>3</xdr:row>
      <xdr:rowOff>47626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017AB31-ECCB-D498-7202-5D298428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6" y="9526"/>
          <a:ext cx="1867072" cy="1143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561156</xdr:colOff>
      <xdr:row>0</xdr:row>
      <xdr:rowOff>0</xdr:rowOff>
    </xdr:from>
    <xdr:to>
      <xdr:col>4</xdr:col>
      <xdr:colOff>529811</xdr:colOff>
      <xdr:row>3</xdr:row>
      <xdr:rowOff>0</xdr:rowOff>
    </xdr:to>
    <xdr:pic>
      <xdr:nvPicPr>
        <xdr:cNvPr id="2" name="image-collée.tiff" descr="image-collée.tif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9956" y="0"/>
          <a:ext cx="1632356" cy="1104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584200</xdr:colOff>
      <xdr:row>0</xdr:row>
      <xdr:rowOff>0</xdr:rowOff>
    </xdr:from>
    <xdr:to>
      <xdr:col>4</xdr:col>
      <xdr:colOff>749300</xdr:colOff>
      <xdr:row>3</xdr:row>
      <xdr:rowOff>127000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0" y="0"/>
          <a:ext cx="1828800" cy="1219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</xdr:rowOff>
    </xdr:from>
    <xdr:to>
      <xdr:col>0</xdr:col>
      <xdr:colOff>5247631</xdr:colOff>
      <xdr:row>15</xdr:row>
      <xdr:rowOff>47287</xdr:rowOff>
    </xdr:to>
    <xdr:pic>
      <xdr:nvPicPr>
        <xdr:cNvPr id="6" name="Image 3" descr="Image 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00025"/>
          <a:ext cx="5152381" cy="27047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topLeftCell="A6" workbookViewId="0">
      <selection activeCell="A6" sqref="A6"/>
    </sheetView>
  </sheetViews>
  <sheetFormatPr defaultColWidth="10.89453125" defaultRowHeight="15" customHeight="1" x14ac:dyDescent="0.2"/>
  <cols>
    <col min="1" max="1" width="20.17578125" style="1" customWidth="1"/>
    <col min="2" max="2" width="20.4453125" style="1" customWidth="1"/>
    <col min="3" max="3" width="20.3125" style="1" customWidth="1"/>
    <col min="4" max="4" width="1.4765625" style="1" customWidth="1"/>
    <col min="5" max="5" width="18.6953125" style="1" customWidth="1"/>
    <col min="6" max="6" width="2.28515625" style="1" customWidth="1"/>
    <col min="7" max="10" width="19.37109375" style="1" customWidth="1"/>
    <col min="11" max="11" width="5.24609375" style="1" customWidth="1"/>
    <col min="12" max="12" width="10.89453125" style="1" customWidth="1"/>
    <col min="13" max="16384" width="10.89453125" style="1"/>
  </cols>
  <sheetData>
    <row r="1" spans="1:11" ht="36" customHeight="1" x14ac:dyDescent="0.5">
      <c r="A1" s="253" t="s">
        <v>62</v>
      </c>
      <c r="B1" s="254"/>
      <c r="C1" s="2"/>
      <c r="D1" s="3"/>
      <c r="E1" s="2"/>
      <c r="F1" s="255" t="s">
        <v>63</v>
      </c>
      <c r="G1" s="256"/>
      <c r="H1" s="256"/>
      <c r="I1" s="256"/>
      <c r="J1" s="256"/>
      <c r="K1" s="257"/>
    </row>
    <row r="2" spans="1:11" ht="15.75" customHeight="1" thickBot="1" x14ac:dyDescent="0.25">
      <c r="A2" s="4"/>
      <c r="B2" s="5"/>
      <c r="C2" s="5"/>
      <c r="D2" s="5"/>
      <c r="E2" s="5"/>
      <c r="F2" s="5"/>
      <c r="G2" s="6"/>
      <c r="H2" s="6"/>
      <c r="I2" s="6"/>
      <c r="J2" s="6"/>
      <c r="K2" s="7"/>
    </row>
    <row r="3" spans="1:11" ht="35.25" customHeight="1" x14ac:dyDescent="0.2">
      <c r="A3" s="258" t="s">
        <v>2</v>
      </c>
      <c r="B3" s="230"/>
      <c r="C3" s="230"/>
      <c r="D3" s="8"/>
      <c r="E3" s="5"/>
      <c r="F3" s="9"/>
      <c r="G3" s="231" t="s">
        <v>91</v>
      </c>
      <c r="H3" s="232"/>
      <c r="I3" s="232"/>
      <c r="J3" s="233"/>
      <c r="K3" s="11"/>
    </row>
    <row r="4" spans="1:11" ht="15" customHeight="1" x14ac:dyDescent="0.2">
      <c r="A4" s="12"/>
      <c r="B4" s="13"/>
      <c r="C4" s="13"/>
      <c r="D4" s="5"/>
      <c r="E4" s="13"/>
      <c r="F4" s="9"/>
      <c r="G4" s="234"/>
      <c r="H4" s="235"/>
      <c r="I4" s="235"/>
      <c r="J4" s="236"/>
      <c r="K4" s="11"/>
    </row>
    <row r="5" spans="1:11" ht="25.5" customHeight="1" x14ac:dyDescent="0.2">
      <c r="A5" s="142" t="s">
        <v>3</v>
      </c>
      <c r="B5" s="142" t="s">
        <v>4</v>
      </c>
      <c r="C5" s="143" t="s">
        <v>5</v>
      </c>
      <c r="D5" s="15"/>
      <c r="E5" s="145" t="s">
        <v>6</v>
      </c>
      <c r="F5" s="16"/>
      <c r="G5" s="234"/>
      <c r="H5" s="235"/>
      <c r="I5" s="235"/>
      <c r="J5" s="236"/>
      <c r="K5" s="11"/>
    </row>
    <row r="6" spans="1:11" ht="24" customHeight="1" thickBot="1" x14ac:dyDescent="0.35">
      <c r="A6" s="189">
        <v>0</v>
      </c>
      <c r="B6" s="189">
        <v>1013</v>
      </c>
      <c r="C6" s="144">
        <f>((1013-B6)*(IF(A6&lt;3000,28,30))+A6)</f>
        <v>0</v>
      </c>
      <c r="D6" s="17"/>
      <c r="E6" s="189">
        <v>1100</v>
      </c>
      <c r="F6" s="16"/>
      <c r="G6" s="237"/>
      <c r="H6" s="238"/>
      <c r="I6" s="238"/>
      <c r="J6" s="239"/>
      <c r="K6" s="11"/>
    </row>
    <row r="7" spans="1:11" ht="28.5" customHeight="1" x14ac:dyDescent="0.2">
      <c r="A7" s="18"/>
      <c r="B7" s="19"/>
      <c r="C7" s="20" t="str">
        <f>IF(C6&gt;8000,"Dépassement altitude ! (Max=8000ft)","zp max = 8000ftSi&lt;0 : calcul fait avec 0ft")</f>
        <v>zp max = 8000ftSi&lt;0 : calcul fait avec 0ft</v>
      </c>
      <c r="D7" s="21"/>
      <c r="E7" s="220" t="str">
        <f>IF(E6&lt;=1100,"Maxi T/O 1100 Kg   Maxi LND 1045 Kg","Masse maxi dépassée")</f>
        <v>Maxi T/O 1100 Kg   Maxi LND 1045 Kg</v>
      </c>
      <c r="F7" s="5"/>
      <c r="G7" s="10"/>
      <c r="H7" s="10"/>
      <c r="I7" s="10"/>
      <c r="J7" s="10"/>
      <c r="K7" s="7"/>
    </row>
    <row r="8" spans="1:11" ht="17.25" customHeight="1" x14ac:dyDescent="0.2">
      <c r="A8" s="146" t="s">
        <v>7</v>
      </c>
      <c r="B8" s="148" t="s">
        <v>8</v>
      </c>
      <c r="C8" s="148" t="s">
        <v>67</v>
      </c>
      <c r="D8" s="22"/>
      <c r="E8" s="259" t="s">
        <v>73</v>
      </c>
      <c r="F8" s="23"/>
      <c r="G8" s="14"/>
      <c r="H8" s="14"/>
      <c r="I8" s="14"/>
      <c r="J8" s="14"/>
      <c r="K8" s="7"/>
    </row>
    <row r="9" spans="1:11" ht="31.5" customHeight="1" thickBot="1" x14ac:dyDescent="0.25">
      <c r="A9" s="189">
        <v>10</v>
      </c>
      <c r="B9" s="149">
        <f>15+(($C$6/1000)*(-2))</f>
        <v>15</v>
      </c>
      <c r="C9" s="149">
        <f>IF(AND(A9-B9&gt;=-20,A9-B9&lt;=20),A9-B9,"ERROR")</f>
        <v>-5</v>
      </c>
      <c r="D9" s="15"/>
      <c r="E9" s="260"/>
      <c r="F9" s="23"/>
      <c r="G9" s="24"/>
      <c r="H9" s="24"/>
      <c r="I9" s="24"/>
      <c r="J9" s="24"/>
      <c r="K9" s="7"/>
    </row>
    <row r="10" spans="1:11" ht="16.5" customHeight="1" x14ac:dyDescent="0.2">
      <c r="A10" s="25"/>
      <c r="B10" s="26"/>
      <c r="C10" s="26"/>
      <c r="D10" s="5"/>
      <c r="E10" s="26"/>
      <c r="F10" s="27"/>
      <c r="G10" s="240" t="s">
        <v>9</v>
      </c>
      <c r="H10" s="241"/>
      <c r="I10" s="240" t="s">
        <v>10</v>
      </c>
      <c r="J10" s="241"/>
      <c r="K10" s="28"/>
    </row>
    <row r="11" spans="1:11" ht="45" customHeight="1" x14ac:dyDescent="0.2">
      <c r="A11" s="146" t="s">
        <v>65</v>
      </c>
      <c r="B11" s="146" t="s">
        <v>95</v>
      </c>
      <c r="C11" s="146" t="s">
        <v>66</v>
      </c>
      <c r="D11" s="15"/>
      <c r="E11" s="251" t="s">
        <v>11</v>
      </c>
      <c r="F11" s="29"/>
      <c r="G11" s="30" t="s">
        <v>12</v>
      </c>
      <c r="H11" s="31" t="s">
        <v>13</v>
      </c>
      <c r="I11" s="30" t="s">
        <v>12</v>
      </c>
      <c r="J11" s="31" t="s">
        <v>14</v>
      </c>
      <c r="K11" s="28"/>
    </row>
    <row r="12" spans="1:11" ht="36.75" customHeight="1" thickBot="1" x14ac:dyDescent="0.25">
      <c r="A12" s="190" t="s">
        <v>15</v>
      </c>
      <c r="B12" s="191">
        <v>0</v>
      </c>
      <c r="C12" s="190" t="s">
        <v>16</v>
      </c>
      <c r="D12" s="15"/>
      <c r="E12" s="252"/>
      <c r="F12" s="29"/>
      <c r="G12" s="32">
        <f>IFERROR('Calculs DR480'!AE10,"ALT or TEMP out of range!")</f>
        <v>241.25</v>
      </c>
      <c r="H12" s="33">
        <f>IFERROR('Calculs DR480'!AF10,"ALT or TEMP out of range!")</f>
        <v>497.5</v>
      </c>
      <c r="I12" s="32">
        <f>IFERROR('Calculs DR480'!AG10,"ALT or TEMP out of range!")</f>
        <v>258.0625</v>
      </c>
      <c r="J12" s="33">
        <f>IFERROR('Calculs DR480'!AH10,"ALT or TEMP out of range!")</f>
        <v>522.5</v>
      </c>
      <c r="K12" s="28"/>
    </row>
    <row r="13" spans="1:11" ht="28.5" customHeight="1" thickBot="1" x14ac:dyDescent="0.25">
      <c r="A13" s="34"/>
      <c r="B13" s="35"/>
      <c r="C13" s="36" t="s">
        <v>17</v>
      </c>
      <c r="D13" s="5"/>
      <c r="E13" s="37"/>
      <c r="F13" s="5"/>
      <c r="G13" s="38"/>
      <c r="H13" s="39"/>
      <c r="I13" s="40"/>
      <c r="J13" s="38"/>
      <c r="K13" s="41"/>
    </row>
    <row r="14" spans="1:11" ht="33.75" customHeight="1" x14ac:dyDescent="0.2">
      <c r="A14" s="224" t="s">
        <v>92</v>
      </c>
      <c r="B14" s="224"/>
      <c r="C14" s="224"/>
      <c r="D14" s="223"/>
      <c r="E14" s="223"/>
      <c r="F14" s="27"/>
      <c r="G14" s="250" t="s">
        <v>18</v>
      </c>
      <c r="H14" s="241"/>
      <c r="I14" s="250" t="s">
        <v>96</v>
      </c>
      <c r="J14" s="241"/>
      <c r="K14" s="28"/>
    </row>
    <row r="15" spans="1:11" ht="40.5" customHeight="1" thickBot="1" x14ac:dyDescent="0.25">
      <c r="A15" s="224" t="s">
        <v>93</v>
      </c>
      <c r="B15" s="224"/>
      <c r="C15" s="224"/>
      <c r="D15" s="223"/>
      <c r="E15" s="223"/>
      <c r="F15" s="42"/>
      <c r="G15" s="43">
        <f>G12*1.3</f>
        <v>313.625</v>
      </c>
      <c r="H15" s="44">
        <f>H12*1.3</f>
        <v>646.75</v>
      </c>
      <c r="I15" s="43">
        <f>I12*1.3</f>
        <v>335.48124999999999</v>
      </c>
      <c r="J15" s="44">
        <f>J12*1.3</f>
        <v>679.25</v>
      </c>
      <c r="K15" s="28"/>
    </row>
    <row r="16" spans="1:11" ht="30.75" customHeight="1" x14ac:dyDescent="0.2">
      <c r="A16" s="45"/>
      <c r="B16" s="5"/>
      <c r="C16" s="5"/>
      <c r="D16" s="5"/>
      <c r="E16" s="5"/>
      <c r="F16" s="5"/>
      <c r="G16" s="46"/>
      <c r="H16" s="47" t="s">
        <v>19</v>
      </c>
      <c r="I16" s="46"/>
      <c r="J16" s="47" t="s">
        <v>20</v>
      </c>
      <c r="K16" s="7"/>
    </row>
    <row r="17" spans="1:11" ht="20.25" customHeight="1" x14ac:dyDescent="0.2">
      <c r="A17" s="45"/>
      <c r="B17" s="5"/>
      <c r="C17" s="48"/>
      <c r="D17" s="48"/>
      <c r="E17" s="48"/>
      <c r="F17" s="5"/>
      <c r="G17" s="48"/>
      <c r="H17" s="48"/>
      <c r="I17" s="48"/>
      <c r="J17" s="49"/>
      <c r="K17" s="50"/>
    </row>
    <row r="18" spans="1:11" ht="15" customHeight="1" x14ac:dyDescent="0.2">
      <c r="A18" s="45"/>
      <c r="B18" s="5"/>
      <c r="C18" s="5"/>
      <c r="D18" s="5"/>
      <c r="E18" s="5"/>
      <c r="F18" s="5"/>
      <c r="G18" s="5"/>
      <c r="H18" s="5"/>
      <c r="I18" s="5"/>
      <c r="J18" s="5"/>
      <c r="K18" s="7"/>
    </row>
    <row r="19" spans="1:11" ht="15" customHeight="1" x14ac:dyDescent="0.2">
      <c r="A19" s="51"/>
      <c r="B19" s="52"/>
      <c r="C19" s="53"/>
      <c r="D19" s="53"/>
      <c r="E19" s="53"/>
      <c r="F19" s="53"/>
      <c r="G19" s="53"/>
      <c r="H19" s="53"/>
      <c r="I19" s="53"/>
      <c r="J19" s="53"/>
      <c r="K19" s="54"/>
    </row>
  </sheetData>
  <sheetProtection sheet="1" objects="1" scenarios="1" selectLockedCells="1"/>
  <mergeCells count="12">
    <mergeCell ref="A15:C15"/>
    <mergeCell ref="E11:E12"/>
    <mergeCell ref="G14:H14"/>
    <mergeCell ref="I14:J14"/>
    <mergeCell ref="A1:B1"/>
    <mergeCell ref="F1:K1"/>
    <mergeCell ref="A3:C3"/>
    <mergeCell ref="G3:J6"/>
    <mergeCell ref="E8:E9"/>
    <mergeCell ref="G10:H10"/>
    <mergeCell ref="I10:J10"/>
    <mergeCell ref="A14:C14"/>
  </mergeCells>
  <conditionalFormatting sqref="B12">
    <cfRule type="expression" dxfId="26" priority="1">
      <formula>(AND($A$12="Arrière",$B$12&gt;10))</formula>
    </cfRule>
  </conditionalFormatting>
  <conditionalFormatting sqref="C6">
    <cfRule type="cellIs" dxfId="25" priority="3" stopIfTrue="1" operator="greaterThan">
      <formula>8000</formula>
    </cfRule>
  </conditionalFormatting>
  <conditionalFormatting sqref="C7">
    <cfRule type="containsText" dxfId="24" priority="4" stopIfTrue="1" operator="containsText" text="Dépassement">
      <formula>NOT(ISERROR(FIND(UPPER("Dépassement"),UPPER(C7))))</formula>
      <formula>"Dépassement"</formula>
    </cfRule>
  </conditionalFormatting>
  <conditionalFormatting sqref="C9">
    <cfRule type="containsText" dxfId="23" priority="6" stopIfTrue="1" operator="containsText" text="error">
      <formula>NOT(ISERROR(FIND(UPPER("error"),UPPER(C9))))</formula>
      <formula>"error"</formula>
    </cfRule>
  </conditionalFormatting>
  <conditionalFormatting sqref="E6">
    <cfRule type="cellIs" dxfId="22" priority="2" operator="greaterThan">
      <formula>1100</formula>
    </cfRule>
  </conditionalFormatting>
  <conditionalFormatting sqref="G12:J12">
    <cfRule type="containsText" dxfId="21" priority="7" stopIfTrue="1" operator="containsText" text="ALT">
      <formula>NOT(ISERROR(FIND(UPPER("ALT"),UPPER(G12))))</formula>
      <formula>"ALT"</formula>
    </cfRule>
  </conditionalFormatting>
  <dataValidations count="2">
    <dataValidation type="list" allowBlank="1" showInputMessage="1" showErrorMessage="1" sqref="C12" xr:uid="{00000000-0002-0000-0000-000000000000}">
      <formula1>"Dure,Herbe"</formula1>
    </dataValidation>
    <dataValidation type="list" allowBlank="1" showInputMessage="1" showErrorMessage="1" sqref="A12" xr:uid="{00000000-0002-0000-0000-000001000000}">
      <formula1>"Face,Arrière"</formula1>
    </dataValidation>
  </dataValidations>
  <pageMargins left="0.7" right="0.7" top="0.75" bottom="0.75" header="0.3" footer="0.3"/>
  <pageSetup scale="62" orientation="landscape" r:id="rId1"/>
  <headerFooter>
    <oddFooter>&amp;C&amp;"Helvetica Neue,Regular"&amp;12&amp;K000000&amp;P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0"/>
  <sheetViews>
    <sheetView showGridLines="0" topLeftCell="X1" workbookViewId="0">
      <selection activeCell="AH10" sqref="AH10"/>
    </sheetView>
  </sheetViews>
  <sheetFormatPr defaultColWidth="10.89453125" defaultRowHeight="15" customHeight="1" x14ac:dyDescent="0.2"/>
  <cols>
    <col min="1" max="1" width="12.375" style="1" customWidth="1"/>
    <col min="2" max="2" width="5.6484375" style="1" customWidth="1"/>
    <col min="3" max="3" width="8.203125" style="1" customWidth="1"/>
    <col min="4" max="4" width="18.16015625" style="1" customWidth="1"/>
    <col min="5" max="5" width="19.7734375" style="1" customWidth="1"/>
    <col min="6" max="6" width="17.484375" style="1" customWidth="1"/>
    <col min="7" max="7" width="18.96484375" style="1" customWidth="1"/>
    <col min="8" max="8" width="17.484375" style="1" customWidth="1"/>
    <col min="9" max="9" width="18.16015625" style="1" customWidth="1"/>
    <col min="10" max="10" width="16.41015625" style="1" customWidth="1"/>
    <col min="11" max="11" width="18.16015625" style="1" customWidth="1"/>
    <col min="12" max="12" width="17.08203125" style="1" customWidth="1"/>
    <col min="13" max="13" width="17.484375" style="1" customWidth="1"/>
    <col min="14" max="14" width="6.1875" style="1" customWidth="1"/>
    <col min="15" max="15" width="11.43359375" style="1" customWidth="1"/>
    <col min="16" max="16" width="5.37890625" style="1" customWidth="1"/>
    <col min="17" max="17" width="8.47265625" style="1" customWidth="1"/>
    <col min="18" max="19" width="22.1953125" style="1" customWidth="1"/>
    <col min="20" max="21" width="22.05859375" style="1" customWidth="1"/>
    <col min="22" max="25" width="23" style="1" customWidth="1"/>
    <col min="26" max="27" width="22.46484375" style="1" customWidth="1"/>
    <col min="28" max="30" width="14.796875" style="1" customWidth="1"/>
    <col min="31" max="35" width="30.9375" style="1" customWidth="1"/>
    <col min="36" max="36" width="10.89453125" style="1" customWidth="1"/>
    <col min="37" max="16384" width="10.89453125" style="1"/>
  </cols>
  <sheetData>
    <row r="1" spans="1:35" ht="36" customHeight="1" x14ac:dyDescent="0.5">
      <c r="A1" s="261" t="s">
        <v>64</v>
      </c>
      <c r="B1" s="262"/>
      <c r="C1" s="262"/>
      <c r="D1" s="262"/>
      <c r="E1" s="262"/>
      <c r="F1" s="55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61"/>
      <c r="AB1" s="5"/>
      <c r="AC1" s="5"/>
      <c r="AD1" s="55"/>
      <c r="AE1" s="56"/>
      <c r="AF1" s="56"/>
      <c r="AG1" s="56"/>
      <c r="AH1" s="56"/>
      <c r="AI1" s="56"/>
    </row>
    <row r="2" spans="1:35" ht="13.5" customHeight="1" x14ac:dyDescent="0.2">
      <c r="A2" s="57"/>
      <c r="B2" s="57"/>
      <c r="C2" s="57"/>
      <c r="D2" s="57"/>
      <c r="E2" s="57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61"/>
      <c r="AB2" s="5"/>
      <c r="AC2" s="5"/>
      <c r="AD2" s="55"/>
      <c r="AE2" s="56"/>
      <c r="AF2" s="56"/>
      <c r="AG2" s="56"/>
      <c r="AH2" s="56"/>
      <c r="AI2" s="56"/>
    </row>
    <row r="3" spans="1:35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6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132"/>
      <c r="AB3" s="5"/>
      <c r="AC3" s="5"/>
      <c r="AD3" s="55"/>
      <c r="AE3" s="56"/>
      <c r="AF3" s="56"/>
      <c r="AG3" s="56"/>
      <c r="AH3" s="56"/>
      <c r="AI3" s="56"/>
    </row>
    <row r="4" spans="1:35" ht="18.75" customHeight="1" x14ac:dyDescent="0.2">
      <c r="A4" s="263" t="s">
        <v>22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59"/>
      <c r="O4" s="265" t="s">
        <v>23</v>
      </c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161"/>
      <c r="AC4" s="5"/>
      <c r="AD4" s="104"/>
      <c r="AE4" s="58"/>
      <c r="AF4" s="58"/>
      <c r="AG4" s="58"/>
      <c r="AH4" s="58"/>
      <c r="AI4" s="58"/>
    </row>
    <row r="5" spans="1:35" ht="15.75" customHeight="1" thickBot="1" x14ac:dyDescent="0.25">
      <c r="A5" s="57"/>
      <c r="B5" s="57"/>
      <c r="C5" s="57"/>
      <c r="D5" s="60"/>
      <c r="E5" s="60"/>
      <c r="F5" s="60"/>
      <c r="G5" s="60"/>
      <c r="H5" s="60"/>
      <c r="I5" s="60"/>
      <c r="J5" s="60"/>
      <c r="K5" s="60"/>
      <c r="L5" s="60"/>
      <c r="M5" s="60"/>
      <c r="N5" s="56"/>
      <c r="O5" s="57"/>
      <c r="P5" s="57"/>
      <c r="Q5" s="57"/>
      <c r="R5" s="60"/>
      <c r="S5" s="60"/>
      <c r="T5" s="60"/>
      <c r="U5" s="60"/>
      <c r="V5" s="60"/>
      <c r="W5" s="60"/>
      <c r="X5" s="60"/>
      <c r="Y5" s="60"/>
      <c r="Z5" s="185"/>
      <c r="AA5" s="105"/>
      <c r="AB5" s="161"/>
      <c r="AC5" s="165"/>
      <c r="AD5" s="267" t="s">
        <v>24</v>
      </c>
      <c r="AE5" s="268"/>
      <c r="AF5" s="268"/>
      <c r="AG5" s="268"/>
      <c r="AH5" s="268"/>
      <c r="AI5" s="269"/>
    </row>
    <row r="6" spans="1:35" ht="15.75" customHeight="1" thickBot="1" x14ac:dyDescent="0.25">
      <c r="A6" s="62"/>
      <c r="B6" s="62"/>
      <c r="C6" s="63"/>
      <c r="D6" s="270" t="s">
        <v>25</v>
      </c>
      <c r="E6" s="271"/>
      <c r="F6" s="270" t="s">
        <v>25</v>
      </c>
      <c r="G6" s="271"/>
      <c r="H6" s="270" t="s">
        <v>26</v>
      </c>
      <c r="I6" s="271"/>
      <c r="J6" s="272" t="s">
        <v>74</v>
      </c>
      <c r="K6" s="273"/>
      <c r="L6" s="274" t="s">
        <v>27</v>
      </c>
      <c r="M6" s="275"/>
      <c r="N6" s="64"/>
      <c r="O6" s="65"/>
      <c r="P6" s="62"/>
      <c r="Q6" s="63"/>
      <c r="R6" s="270" t="s">
        <v>25</v>
      </c>
      <c r="S6" s="271"/>
      <c r="T6" s="270" t="s">
        <v>25</v>
      </c>
      <c r="U6" s="271"/>
      <c r="V6" s="270" t="s">
        <v>26</v>
      </c>
      <c r="W6" s="271"/>
      <c r="X6" s="272" t="s">
        <v>78</v>
      </c>
      <c r="Y6" s="276"/>
      <c r="Z6" s="277" t="s">
        <v>27</v>
      </c>
      <c r="AA6" s="278"/>
      <c r="AB6" s="5"/>
      <c r="AC6" s="165"/>
      <c r="AD6" s="127"/>
      <c r="AE6" s="60"/>
      <c r="AF6" s="60"/>
      <c r="AG6" s="60"/>
      <c r="AH6" s="60"/>
      <c r="AI6" s="57"/>
    </row>
    <row r="7" spans="1:35" ht="18.75" customHeight="1" x14ac:dyDescent="0.25">
      <c r="A7" s="279" t="s">
        <v>28</v>
      </c>
      <c r="B7" s="281" t="s">
        <v>29</v>
      </c>
      <c r="C7" s="283" t="s">
        <v>79</v>
      </c>
      <c r="D7" s="285">
        <v>1100</v>
      </c>
      <c r="E7" s="286"/>
      <c r="F7" s="285">
        <v>900</v>
      </c>
      <c r="G7" s="286"/>
      <c r="H7" s="287">
        <f>'Perfo DR480 NR'!E6</f>
        <v>1100</v>
      </c>
      <c r="I7" s="288"/>
      <c r="J7" s="291">
        <f>'Perfo DR480 NR'!$C$9</f>
        <v>-5</v>
      </c>
      <c r="K7" s="292"/>
      <c r="L7" s="287">
        <f>IF('Perfo DR480 NR'!$C$6&lt;0,0,'Perfo DR480 NR'!$C$6)</f>
        <v>0</v>
      </c>
      <c r="M7" s="288"/>
      <c r="N7" s="66"/>
      <c r="O7" s="293" t="s">
        <v>28</v>
      </c>
      <c r="P7" s="281" t="s">
        <v>29</v>
      </c>
      <c r="Q7" s="283" t="s">
        <v>79</v>
      </c>
      <c r="R7" s="285">
        <v>1045</v>
      </c>
      <c r="S7" s="286"/>
      <c r="T7" s="285">
        <v>845</v>
      </c>
      <c r="U7" s="286"/>
      <c r="V7" s="287">
        <f>'Perfo DR480 NR'!E6</f>
        <v>1100</v>
      </c>
      <c r="W7" s="288"/>
      <c r="X7" s="295">
        <f>'Perfo DR480 NR'!$C$9</f>
        <v>-5</v>
      </c>
      <c r="Y7" s="296"/>
      <c r="Z7" s="297">
        <f>IF('Perfo DR480 NR'!$C$6&lt;0,0,'Perfo DR480 NR'!$C$6)</f>
        <v>0</v>
      </c>
      <c r="AA7" s="298"/>
      <c r="AB7" s="5"/>
      <c r="AC7" s="165"/>
      <c r="AD7" s="162"/>
      <c r="AE7" s="289" t="s">
        <v>30</v>
      </c>
      <c r="AF7" s="290"/>
      <c r="AG7" s="289" t="s">
        <v>31</v>
      </c>
      <c r="AH7" s="290"/>
      <c r="AI7" s="67"/>
    </row>
    <row r="8" spans="1:35" ht="45.75" customHeight="1" thickBot="1" x14ac:dyDescent="0.25">
      <c r="A8" s="280"/>
      <c r="B8" s="282"/>
      <c r="C8" s="284"/>
      <c r="D8" s="68" t="s">
        <v>12</v>
      </c>
      <c r="E8" s="69" t="s">
        <v>32</v>
      </c>
      <c r="F8" s="68" t="s">
        <v>12</v>
      </c>
      <c r="G8" s="69" t="s">
        <v>32</v>
      </c>
      <c r="H8" s="68" t="s">
        <v>12</v>
      </c>
      <c r="I8" s="69" t="s">
        <v>32</v>
      </c>
      <c r="J8" s="170" t="s">
        <v>12</v>
      </c>
      <c r="K8" s="171" t="s">
        <v>32</v>
      </c>
      <c r="L8" s="30" t="s">
        <v>12</v>
      </c>
      <c r="M8" s="31" t="s">
        <v>32</v>
      </c>
      <c r="N8" s="66"/>
      <c r="O8" s="294"/>
      <c r="P8" s="282"/>
      <c r="Q8" s="284"/>
      <c r="R8" s="68" t="s">
        <v>12</v>
      </c>
      <c r="S8" s="69" t="s">
        <v>33</v>
      </c>
      <c r="T8" s="68" t="s">
        <v>12</v>
      </c>
      <c r="U8" s="69" t="s">
        <v>33</v>
      </c>
      <c r="V8" s="68" t="s">
        <v>12</v>
      </c>
      <c r="W8" s="69" t="s">
        <v>33</v>
      </c>
      <c r="X8" s="68" t="s">
        <v>12</v>
      </c>
      <c r="Y8" s="184" t="s">
        <v>33</v>
      </c>
      <c r="Z8" s="186" t="s">
        <v>12</v>
      </c>
      <c r="AA8" s="187" t="s">
        <v>33</v>
      </c>
      <c r="AB8" s="5"/>
      <c r="AC8" s="165"/>
      <c r="AD8" s="163"/>
      <c r="AE8" s="68" t="s">
        <v>12</v>
      </c>
      <c r="AF8" s="69" t="s">
        <v>13</v>
      </c>
      <c r="AG8" s="68" t="s">
        <v>12</v>
      </c>
      <c r="AH8" s="69" t="s">
        <v>14</v>
      </c>
      <c r="AI8" s="70"/>
    </row>
    <row r="9" spans="1:35" ht="18.75" customHeight="1" x14ac:dyDescent="0.2">
      <c r="A9" s="309">
        <v>0</v>
      </c>
      <c r="B9" s="71">
        <v>-5</v>
      </c>
      <c r="C9" s="72">
        <v>-20</v>
      </c>
      <c r="D9" s="73">
        <v>215</v>
      </c>
      <c r="E9" s="74">
        <v>445</v>
      </c>
      <c r="F9" s="73">
        <v>120</v>
      </c>
      <c r="G9" s="74">
        <v>250</v>
      </c>
      <c r="H9" s="73">
        <f t="shared" ref="H9:I17" si="0">F9+(($H$7-$F$7)*(D9-F9)/($D$7-$F$7))</f>
        <v>215</v>
      </c>
      <c r="I9" s="167">
        <f t="shared" si="0"/>
        <v>445</v>
      </c>
      <c r="J9" s="321">
        <f>IF(AND($J$7&gt;=C9,$J$7&lt;=C10),(H9+(($J$7-C9)*(H10-H9)/(C10-C9))),IF(AND($J$7&gt;=C10,$J$7&lt;=C11),(H10+(($J$7)*(H11-H10)/(C10-C9))),"error"))</f>
        <v>241.25</v>
      </c>
      <c r="K9" s="322">
        <f>IF(AND($J$7&gt;=C9,$J$7&lt;=C10),(I9+(($J$7-C9)*(I10-I9)/(C10-C9))),IF(AND($J$7&gt;=C10,$J$7&lt;=C11),(I10+(($J$7)*(I11-I10)/(C10-C9))),"error"))</f>
        <v>497.5</v>
      </c>
      <c r="L9" s="305">
        <f>IF($L$7=0,J9,IF(AND($L$7&gt;0,$L$7&lt;2500),(J9+($L$7*(J12-J9)/($A$12-$A$9))),IF($L$7=2500,J12,IF(AND($L$7&gt;2500,$L$7&lt;5000),(J12+(($L$7-$A$12)*(J15-J12)/($A$15-$A$12))),IF($L$7=5000,J15,IF(AND($L$7&gt;5000,$L$7&lt;8000),(J15+(($L$7-$A$15)*(J18-J15)/($A$18-$A$15))),IF($L$7=8000,J18,"Alt error")))))))</f>
        <v>241.25</v>
      </c>
      <c r="M9" s="323">
        <f>IF($L$7=0,K9,IF(AND($L$7&gt;0,$L$7&lt;2500),(K9+($L$7*(K12-K9)/($A$12-$A$9))),IF($L$7=2500,K12,IF(AND($L$7&gt;2500,$L$7&lt;5000),(K12+(($L$7-$A$12)*(K15-K12)/($A$15-$A$12))),IF($L$7=5000,K15,IF(AND($L$7&gt;5000,$L$7&lt;8000),(K15+(($L$7-$A$15)*(K18-K15)/($A$18-$A$15))),IF($L$7=8000,K18,"Alt error")))))))</f>
        <v>497.5</v>
      </c>
      <c r="N9" s="75"/>
      <c r="O9" s="318">
        <v>0</v>
      </c>
      <c r="P9" s="71">
        <v>-5</v>
      </c>
      <c r="Q9" s="76">
        <v>-20</v>
      </c>
      <c r="R9" s="77">
        <v>230</v>
      </c>
      <c r="S9" s="78">
        <v>500</v>
      </c>
      <c r="T9" s="78">
        <v>190</v>
      </c>
      <c r="U9" s="78">
        <v>425</v>
      </c>
      <c r="V9" s="79">
        <f t="shared" ref="V9:V17" si="1">T9+(($V$7-$T$7)*(R9-T9)/($R$7-$T$7))</f>
        <v>241</v>
      </c>
      <c r="W9" s="74">
        <f t="shared" ref="W9:W17" si="2">U9+(($H$7-$F$7)*(S9-U9)/($D$7-$F$7))</f>
        <v>500</v>
      </c>
      <c r="X9" s="299">
        <f>IF(AND($X$7&gt;=Q9,$X$7&lt;=Q10),(V9+(($X$7-Q9)*(V10-V9)/(Q10-Q9))),IF(AND($X$7&gt;=Q10,$X$7&lt;=Q11),(V10+(($X$7)*(V11-V10)/(Q10-Q9))),"error"))</f>
        <v>258.0625</v>
      </c>
      <c r="Y9" s="302">
        <f>IF(AND($X$7&gt;=Q9,$X$7&lt;=Q10),(W9+(($X$7-Q9)*(W10-W9)/(Q10-Q9))),IF(AND($X$7&gt;=Q10,$X$7&lt;=Q11),(W10+(($X$7)*(W11-W10)/(Q10-Q9))),"error"))</f>
        <v>522.5</v>
      </c>
      <c r="Z9" s="305">
        <f>IF($Z$7=0,X9,IF(AND($Z$7&gt;0,$Z$7&lt;4000),(X9+($Z$7*(X12-X9)/($O$12-$O$9))),IF($Z$7=4000,X12,IF(AND($Z$7&gt;=4000,$Z$7&lt;8000),(X12+(($Z$7-$O$12)*(X15-X12)/($O$15-$O$12))),IF($Z$7=8000,X15,"Alt error")))))</f>
        <v>258.0625</v>
      </c>
      <c r="AA9" s="307">
        <f>IF($Z$7=0,Y9,IF(AND($Z$7&gt;0,$Z$7&lt;4000),(Y9+($Z$7*(Y12-Y9)/($O$12-$O$9))),IF($Z$7=4000,Y12,IF(AND($Z$7&gt;=4000,$Z$7&lt;8000),(Y12+(($Z$7-$O$12)*(Y15-Y12)/($O$15-$O$12))),IF($Z$7=8000,Y15,"Alt error")))))</f>
        <v>522.5</v>
      </c>
      <c r="AB9" s="205"/>
      <c r="AC9" s="165"/>
      <c r="AD9" s="164" t="s">
        <v>34</v>
      </c>
      <c r="AE9" s="80">
        <f>AE11+AE12</f>
        <v>241.25</v>
      </c>
      <c r="AF9" s="80">
        <f>AF11+AF12</f>
        <v>497.5</v>
      </c>
      <c r="AG9" s="80">
        <f>AG11+AG12</f>
        <v>258.0625</v>
      </c>
      <c r="AH9" s="80">
        <f>AH11+AH12</f>
        <v>522.5</v>
      </c>
      <c r="AI9" s="81" t="s">
        <v>35</v>
      </c>
    </row>
    <row r="10" spans="1:35" ht="18.75" customHeight="1" x14ac:dyDescent="0.2">
      <c r="A10" s="310"/>
      <c r="B10" s="82">
        <v>15</v>
      </c>
      <c r="C10" s="83">
        <v>0</v>
      </c>
      <c r="D10" s="84">
        <v>250</v>
      </c>
      <c r="E10" s="85">
        <v>515</v>
      </c>
      <c r="F10" s="84">
        <v>140</v>
      </c>
      <c r="G10" s="85">
        <v>290</v>
      </c>
      <c r="H10" s="84">
        <f t="shared" si="0"/>
        <v>250</v>
      </c>
      <c r="I10" s="168">
        <f t="shared" si="0"/>
        <v>515</v>
      </c>
      <c r="J10" s="313"/>
      <c r="K10" s="316"/>
      <c r="L10" s="305"/>
      <c r="M10" s="323"/>
      <c r="N10" s="75"/>
      <c r="O10" s="319"/>
      <c r="P10" s="82">
        <v>15</v>
      </c>
      <c r="Q10" s="86">
        <v>0</v>
      </c>
      <c r="R10" s="87">
        <v>250</v>
      </c>
      <c r="S10" s="88">
        <v>530</v>
      </c>
      <c r="T10" s="88">
        <v>200</v>
      </c>
      <c r="U10" s="88">
        <v>450</v>
      </c>
      <c r="V10" s="89">
        <f t="shared" si="1"/>
        <v>263.75</v>
      </c>
      <c r="W10" s="85">
        <f t="shared" si="2"/>
        <v>530</v>
      </c>
      <c r="X10" s="300"/>
      <c r="Y10" s="303"/>
      <c r="Z10" s="305"/>
      <c r="AA10" s="307"/>
      <c r="AB10" s="5"/>
      <c r="AC10" s="165"/>
      <c r="AD10" s="212" t="s">
        <v>36</v>
      </c>
      <c r="AE10" s="194">
        <f>IF(COUNTIF('Perfo DR480 NR'!$C$12,"Dure"),AE9,AE9*1.15)</f>
        <v>241.25</v>
      </c>
      <c r="AF10" s="195">
        <f>AE10+AF9-AE9</f>
        <v>497.5</v>
      </c>
      <c r="AG10" s="194">
        <f>IF(COUNTIF('Perfo DR480 NR'!$C$12,"Dure"),AG9,AG9*1.15)</f>
        <v>258.0625</v>
      </c>
      <c r="AH10" s="196">
        <f>AG10+AH9-AG9</f>
        <v>522.5</v>
      </c>
      <c r="AI10" s="166" t="s">
        <v>37</v>
      </c>
    </row>
    <row r="11" spans="1:35" ht="19.5" customHeight="1" thickBot="1" x14ac:dyDescent="0.25">
      <c r="A11" s="311"/>
      <c r="B11" s="90">
        <v>35</v>
      </c>
      <c r="C11" s="91">
        <v>20</v>
      </c>
      <c r="D11" s="92">
        <v>290</v>
      </c>
      <c r="E11" s="93">
        <v>600</v>
      </c>
      <c r="F11" s="92">
        <v>165</v>
      </c>
      <c r="G11" s="93">
        <v>340</v>
      </c>
      <c r="H11" s="92">
        <f t="shared" si="0"/>
        <v>290</v>
      </c>
      <c r="I11" s="169">
        <f t="shared" si="0"/>
        <v>600</v>
      </c>
      <c r="J11" s="314"/>
      <c r="K11" s="317"/>
      <c r="L11" s="305"/>
      <c r="M11" s="323"/>
      <c r="N11" s="94"/>
      <c r="O11" s="320"/>
      <c r="P11" s="90">
        <v>35</v>
      </c>
      <c r="Q11" s="95">
        <v>20</v>
      </c>
      <c r="R11" s="96">
        <v>270</v>
      </c>
      <c r="S11" s="97">
        <v>560</v>
      </c>
      <c r="T11" s="97">
        <v>215</v>
      </c>
      <c r="U11" s="97">
        <v>475</v>
      </c>
      <c r="V11" s="98">
        <f t="shared" si="1"/>
        <v>285.125</v>
      </c>
      <c r="W11" s="93">
        <f t="shared" si="2"/>
        <v>560</v>
      </c>
      <c r="X11" s="301"/>
      <c r="Y11" s="304"/>
      <c r="Z11" s="305"/>
      <c r="AA11" s="307"/>
      <c r="AB11" s="5"/>
      <c r="AC11" s="5" t="s">
        <v>72</v>
      </c>
      <c r="AD11" s="199"/>
      <c r="AE11" s="198">
        <f>IF('Perfo DR480 NR'!$A$12="Face",IF('Perfo DR480 NR'!$B$12&lt;=9,L9,IF(AND('Perfo DR480 NR'!$B$12&gt;9,'Perfo DR480 NR'!$B$12&lt;20),L9*0.85,IF(AND('Perfo DR480 NR'!$B$12&gt;19,'Perfo DR480 NR'!$B$12&lt;30),L9*0.65,IF('Perfo DR480 NR'!$B$12&gt;29,L9*0.55,0)))))</f>
        <v>241.25</v>
      </c>
      <c r="AF11" s="198">
        <f>IF('Perfo DR480 NR'!$A$12="Face",IF('Perfo DR480 NR'!$B$12&lt;=9,M9,IF(AND('Perfo DR480 NR'!$B$12&gt;9,'Perfo DR480 NR'!$B$12&lt;20),M9*0.85,IF(AND('Perfo DR480 NR'!$B$12&gt;19,'Perfo DR480 NR'!$B$12&lt;30),M9*0.65,IF('Perfo DR480 NR'!$B$12&gt;29,M9*0.55,0)))))</f>
        <v>497.5</v>
      </c>
      <c r="AG11" s="198">
        <f>IF('Perfo DR480 NR'!$A$12="Face",IF('Perfo DR480 NR'!$B$12&lt;=9,Z9,IF(AND('Perfo DR480 NR'!$B$12&gt;9,'Perfo DR480 NR'!$B$12&lt;20),Z9*0.85,IF(AND('Perfo DR480 NR'!$B$12&gt;19,'Perfo DR480 NR'!$B$12&lt;30),Z9*0.65,IF('Perfo DR480 NR'!$B$12&gt;29,Z9*0.55,0)))))</f>
        <v>258.0625</v>
      </c>
      <c r="AH11" s="200">
        <f>IF('Perfo DR480 NR'!$A$12="Face",IF('Perfo DR480 NR'!$B$12&lt;=9,AA9,IF(AND('Perfo DR480 NR'!$B$12&gt;9,'Perfo DR480 NR'!$B$12&lt;20),AA9*0.85,IF(AND('Perfo DR480 NR'!$B$12&gt;19,'Perfo DR480 NR'!$B$12&lt;30),AA9*0.65,IF('Perfo DR480 NR'!$B$12&gt;29,AA9*0.55,0)))))</f>
        <v>522.5</v>
      </c>
      <c r="AI11" s="5"/>
    </row>
    <row r="12" spans="1:35" ht="15" customHeight="1" x14ac:dyDescent="0.2">
      <c r="A12" s="309">
        <v>2500</v>
      </c>
      <c r="B12" s="71">
        <v>-10</v>
      </c>
      <c r="C12" s="72">
        <v>-20</v>
      </c>
      <c r="D12" s="73">
        <v>260</v>
      </c>
      <c r="E12" s="74">
        <v>540</v>
      </c>
      <c r="F12" s="73">
        <v>150</v>
      </c>
      <c r="G12" s="74">
        <v>310</v>
      </c>
      <c r="H12" s="73">
        <f t="shared" si="0"/>
        <v>260</v>
      </c>
      <c r="I12" s="167">
        <f t="shared" si="0"/>
        <v>540</v>
      </c>
      <c r="J12" s="312">
        <f>IF(AND($J$7&gt;=C12,$J$7&lt;=C13),(H12+(($J$7-C12)*(H13-H12)/(C13-C12))),IF(AND($J$7&gt;=C13,$J$7&lt;=C14),(H13+(($J$7)*(H14-H13)/(C13-C12))),"error"))</f>
        <v>293.75</v>
      </c>
      <c r="K12" s="315">
        <f>IF(AND($J$7&gt;=C12,$J$7&lt;=C13),(I12+(($J$7-C12)*(I13-I12)/(C13-C12))),IF(AND($J$7&gt;=C13,$J$7&lt;=C14),(I13+(($J$7)*(I14-I13)/(C13-C12))),"error"))</f>
        <v>611.25</v>
      </c>
      <c r="L12" s="305"/>
      <c r="M12" s="323"/>
      <c r="N12" s="99"/>
      <c r="O12" s="318">
        <v>4000</v>
      </c>
      <c r="P12" s="71">
        <v>-13</v>
      </c>
      <c r="Q12" s="76">
        <v>-20</v>
      </c>
      <c r="R12" s="77">
        <v>260</v>
      </c>
      <c r="S12" s="78">
        <v>550</v>
      </c>
      <c r="T12" s="78">
        <v>210</v>
      </c>
      <c r="U12" s="78">
        <v>465</v>
      </c>
      <c r="V12" s="79">
        <f t="shared" si="1"/>
        <v>273.75</v>
      </c>
      <c r="W12" s="74">
        <f t="shared" si="2"/>
        <v>550</v>
      </c>
      <c r="X12" s="299">
        <f>IF(AND($X$7&gt;=Q12,$X$7&lt;=Q13),(V12+(($X$7-Q12)*(V13-V12)/(Q13-Q12))),IF(AND($X$7&gt;=Q13,$X$7&lt;=Q14),(V13+(($X$7)*(V14-V13)/(Q13-Q12))),"error"))</f>
        <v>288.75</v>
      </c>
      <c r="Y12" s="302">
        <f>IF(AND($X$7&gt;=Q12,$X$7&lt;=Q13),(W12+(($X$7-Q12)*(W13-W12)/(Q13-Q12))),IF(AND($X$7&gt;=Q13,$X$7&lt;=Q14),(W13+(($X$7)*(W14-W13)/(Q13-Q12))),"error"))</f>
        <v>576.25</v>
      </c>
      <c r="Z12" s="305"/>
      <c r="AA12" s="307"/>
      <c r="AB12" s="5"/>
      <c r="AC12" s="5" t="s">
        <v>71</v>
      </c>
      <c r="AD12" s="213" t="str">
        <f>'Perfo DR480 NR'!A12</f>
        <v>Face</v>
      </c>
      <c r="AE12" s="178" t="b">
        <f>IF(AD12="Arrière",(1+(AD13/20))*L9)</f>
        <v>0</v>
      </c>
      <c r="AF12" s="5" t="b">
        <f>IF('Perfo DR480 NR'!$A$12="Arrière",M9*(1+('Perfo DR480 NR'!$B$12/20)))</f>
        <v>0</v>
      </c>
      <c r="AG12" s="5" t="b">
        <f>IF('Perfo DR480 NR'!$A$12="Arrière",Z9*(1+('Perfo DR480 NR'!$B$12/20)))</f>
        <v>0</v>
      </c>
      <c r="AH12" s="165" t="b">
        <f>IF('Perfo DR480 NR'!$A$12="Arrière",AA9*(1+('Perfo DR480 NR'!$B$12/20)))</f>
        <v>0</v>
      </c>
      <c r="AI12" s="5"/>
    </row>
    <row r="13" spans="1:35" ht="15" customHeight="1" x14ac:dyDescent="0.2">
      <c r="A13" s="310"/>
      <c r="B13" s="82">
        <v>10</v>
      </c>
      <c r="C13" s="83">
        <v>0</v>
      </c>
      <c r="D13" s="84">
        <v>305</v>
      </c>
      <c r="E13" s="85">
        <v>635</v>
      </c>
      <c r="F13" s="84">
        <v>175</v>
      </c>
      <c r="G13" s="85">
        <v>360</v>
      </c>
      <c r="H13" s="84">
        <f t="shared" si="0"/>
        <v>305</v>
      </c>
      <c r="I13" s="168">
        <f t="shared" si="0"/>
        <v>635</v>
      </c>
      <c r="J13" s="313"/>
      <c r="K13" s="316"/>
      <c r="L13" s="305"/>
      <c r="M13" s="323"/>
      <c r="N13" s="99"/>
      <c r="O13" s="319"/>
      <c r="P13" s="82">
        <v>7</v>
      </c>
      <c r="Q13" s="86">
        <v>0</v>
      </c>
      <c r="R13" s="87">
        <v>280</v>
      </c>
      <c r="S13" s="88">
        <v>585</v>
      </c>
      <c r="T13" s="88">
        <v>230</v>
      </c>
      <c r="U13" s="88">
        <v>495</v>
      </c>
      <c r="V13" s="89">
        <f t="shared" si="1"/>
        <v>293.75</v>
      </c>
      <c r="W13" s="85">
        <f t="shared" si="2"/>
        <v>585</v>
      </c>
      <c r="X13" s="300"/>
      <c r="Y13" s="303"/>
      <c r="Z13" s="305"/>
      <c r="AA13" s="307"/>
      <c r="AB13" s="5"/>
      <c r="AC13" s="5"/>
      <c r="AD13" s="202">
        <f>'Perfo DR480 NR'!B12</f>
        <v>0</v>
      </c>
      <c r="AE13" s="203"/>
      <c r="AF13" s="203"/>
      <c r="AG13" s="203"/>
      <c r="AH13" s="204"/>
      <c r="AI13" s="5"/>
    </row>
    <row r="14" spans="1:35" ht="15.75" customHeight="1" thickBot="1" x14ac:dyDescent="0.25">
      <c r="A14" s="311"/>
      <c r="B14" s="90">
        <v>30</v>
      </c>
      <c r="C14" s="91">
        <v>20</v>
      </c>
      <c r="D14" s="92">
        <v>355</v>
      </c>
      <c r="E14" s="93">
        <v>735</v>
      </c>
      <c r="F14" s="92">
        <v>200</v>
      </c>
      <c r="G14" s="93">
        <v>415</v>
      </c>
      <c r="H14" s="92">
        <f t="shared" si="0"/>
        <v>355</v>
      </c>
      <c r="I14" s="169">
        <f t="shared" si="0"/>
        <v>735</v>
      </c>
      <c r="J14" s="314"/>
      <c r="K14" s="317"/>
      <c r="L14" s="305"/>
      <c r="M14" s="323"/>
      <c r="N14" s="99"/>
      <c r="O14" s="320"/>
      <c r="P14" s="90">
        <v>27</v>
      </c>
      <c r="Q14" s="95">
        <v>20</v>
      </c>
      <c r="R14" s="96">
        <v>300</v>
      </c>
      <c r="S14" s="97">
        <v>620</v>
      </c>
      <c r="T14" s="97">
        <v>240</v>
      </c>
      <c r="U14" s="97">
        <v>520</v>
      </c>
      <c r="V14" s="98">
        <f t="shared" si="1"/>
        <v>316.5</v>
      </c>
      <c r="W14" s="93">
        <f t="shared" si="2"/>
        <v>620</v>
      </c>
      <c r="X14" s="301"/>
      <c r="Y14" s="304"/>
      <c r="Z14" s="305"/>
      <c r="AA14" s="307"/>
      <c r="AB14" s="5"/>
      <c r="AC14" s="5"/>
      <c r="AD14" s="5"/>
      <c r="AE14" s="5"/>
      <c r="AF14" s="5"/>
      <c r="AG14" s="5"/>
      <c r="AH14" s="5"/>
      <c r="AI14" s="5"/>
    </row>
    <row r="15" spans="1:35" ht="15" customHeight="1" x14ac:dyDescent="0.2">
      <c r="A15" s="309">
        <v>5000</v>
      </c>
      <c r="B15" s="71">
        <v>-15</v>
      </c>
      <c r="C15" s="72">
        <v>-20</v>
      </c>
      <c r="D15" s="73">
        <v>330</v>
      </c>
      <c r="E15" s="74">
        <v>680</v>
      </c>
      <c r="F15" s="73">
        <v>185</v>
      </c>
      <c r="G15" s="74">
        <v>385</v>
      </c>
      <c r="H15" s="73">
        <f t="shared" si="0"/>
        <v>330</v>
      </c>
      <c r="I15" s="167">
        <f t="shared" si="0"/>
        <v>680</v>
      </c>
      <c r="J15" s="312">
        <f>IF(AND($J$7&gt;=C15,$J$7&lt;=C16),(H15+(($J$7-C15)*(H16-H15)/(C16-C15))),IF(AND($J$7&gt;=C16,$J$7&lt;=C17),(H16+(($J$7)*(H17-H16)/(C16-C15))),"error"))</f>
        <v>371.25</v>
      </c>
      <c r="K15" s="315">
        <f>IF(AND($J$7&gt;=C15,$J$7&lt;=C16),(I15+(($J$7-C15)*(I16-I15)/(C16-C15))),IF(AND($J$7&gt;=C16,$J$7&lt;=C17),(I16+(($J$7)*(I17-I16)/(C16-C15))),"error"))</f>
        <v>766.25</v>
      </c>
      <c r="L15" s="305"/>
      <c r="M15" s="323"/>
      <c r="N15" s="99"/>
      <c r="O15" s="318">
        <v>8000</v>
      </c>
      <c r="P15" s="71">
        <v>-21</v>
      </c>
      <c r="Q15" s="76">
        <v>-20</v>
      </c>
      <c r="R15" s="77">
        <v>295</v>
      </c>
      <c r="S15" s="78">
        <v>610</v>
      </c>
      <c r="T15" s="78">
        <v>240</v>
      </c>
      <c r="U15" s="78">
        <v>510</v>
      </c>
      <c r="V15" s="79">
        <f t="shared" si="1"/>
        <v>310.125</v>
      </c>
      <c r="W15" s="74">
        <f t="shared" si="2"/>
        <v>610</v>
      </c>
      <c r="X15" s="299">
        <f>IF(AND($X$7&gt;=Q15,$X$7&lt;=Q16),(V15+(($X$7-Q15)*(V16-V15)/(Q16-Q15))),IF(AND($X$7&gt;=Q16,$X$7&lt;=Q17),(V16+(($X$7)*(V17-V16)/(Q16-Q15))),"error"))</f>
        <v>329.90625</v>
      </c>
      <c r="Y15" s="302">
        <f>IF(AND($X$7&gt;=Q15,$X$7&lt;=Q16),(W15+(($X$7-Q15)*(W16-W15)/(Q16-Q15))),IF(AND($X$7&gt;=Q16,$X$7&lt;=Q17),(W16+(($X$7)*(W17-W16)/(Q16-Q15))),"error"))</f>
        <v>640</v>
      </c>
      <c r="Z15" s="305"/>
      <c r="AA15" s="307"/>
      <c r="AB15" s="5"/>
      <c r="AC15" s="5"/>
      <c r="AD15" s="5"/>
      <c r="AE15" s="178"/>
      <c r="AF15" s="5"/>
      <c r="AG15" s="5"/>
      <c r="AH15" s="5"/>
      <c r="AI15" s="5"/>
    </row>
    <row r="16" spans="1:35" ht="15" customHeight="1" x14ac:dyDescent="0.2">
      <c r="A16" s="310"/>
      <c r="B16" s="82">
        <v>5</v>
      </c>
      <c r="C16" s="83">
        <v>0</v>
      </c>
      <c r="D16" s="84">
        <v>385</v>
      </c>
      <c r="E16" s="85">
        <v>795</v>
      </c>
      <c r="F16" s="84">
        <v>215</v>
      </c>
      <c r="G16" s="85">
        <v>450</v>
      </c>
      <c r="H16" s="84">
        <f t="shared" si="0"/>
        <v>385</v>
      </c>
      <c r="I16" s="168">
        <f t="shared" si="0"/>
        <v>795</v>
      </c>
      <c r="J16" s="313"/>
      <c r="K16" s="316"/>
      <c r="L16" s="305"/>
      <c r="M16" s="323"/>
      <c r="N16" s="99"/>
      <c r="O16" s="319"/>
      <c r="P16" s="82">
        <v>-1</v>
      </c>
      <c r="Q16" s="86">
        <v>0</v>
      </c>
      <c r="R16" s="87">
        <v>320</v>
      </c>
      <c r="S16" s="88">
        <v>650</v>
      </c>
      <c r="T16" s="88">
        <v>260</v>
      </c>
      <c r="U16" s="88">
        <v>545</v>
      </c>
      <c r="V16" s="89">
        <f t="shared" si="1"/>
        <v>336.5</v>
      </c>
      <c r="W16" s="85">
        <f t="shared" si="2"/>
        <v>650</v>
      </c>
      <c r="X16" s="300"/>
      <c r="Y16" s="303"/>
      <c r="Z16" s="305"/>
      <c r="AA16" s="307"/>
      <c r="AB16" s="5"/>
      <c r="AC16" s="5"/>
      <c r="AD16" s="5"/>
      <c r="AE16" s="5"/>
      <c r="AF16" s="5"/>
      <c r="AG16" s="5"/>
      <c r="AH16" s="5"/>
      <c r="AI16" s="5"/>
    </row>
    <row r="17" spans="1:35" ht="15.75" customHeight="1" thickBot="1" x14ac:dyDescent="0.25">
      <c r="A17" s="311"/>
      <c r="B17" s="90">
        <v>25</v>
      </c>
      <c r="C17" s="91">
        <v>20</v>
      </c>
      <c r="D17" s="92">
        <v>445</v>
      </c>
      <c r="E17" s="93">
        <v>925</v>
      </c>
      <c r="F17" s="92">
        <v>250</v>
      </c>
      <c r="G17" s="93">
        <v>520</v>
      </c>
      <c r="H17" s="92">
        <f t="shared" si="0"/>
        <v>445</v>
      </c>
      <c r="I17" s="169">
        <f t="shared" si="0"/>
        <v>925</v>
      </c>
      <c r="J17" s="314"/>
      <c r="K17" s="327"/>
      <c r="L17" s="306"/>
      <c r="M17" s="324"/>
      <c r="N17" s="153"/>
      <c r="O17" s="320"/>
      <c r="P17" s="90">
        <v>19</v>
      </c>
      <c r="Q17" s="95">
        <v>20</v>
      </c>
      <c r="R17" s="96">
        <v>340</v>
      </c>
      <c r="S17" s="97">
        <v>690</v>
      </c>
      <c r="T17" s="97">
        <v>275</v>
      </c>
      <c r="U17" s="97">
        <v>575</v>
      </c>
      <c r="V17" s="98">
        <f t="shared" si="1"/>
        <v>357.875</v>
      </c>
      <c r="W17" s="93">
        <f t="shared" si="2"/>
        <v>690</v>
      </c>
      <c r="X17" s="301"/>
      <c r="Y17" s="304"/>
      <c r="Z17" s="306"/>
      <c r="AA17" s="308"/>
      <c r="AB17" s="5"/>
      <c r="AC17" s="5"/>
      <c r="AD17" s="5"/>
      <c r="AE17" s="5"/>
      <c r="AF17" s="5"/>
      <c r="AG17" s="5"/>
      <c r="AH17" s="5"/>
      <c r="AI17" s="5"/>
    </row>
    <row r="18" spans="1:35" ht="15" customHeight="1" x14ac:dyDescent="0.2">
      <c r="A18" s="309">
        <v>8000</v>
      </c>
      <c r="B18" s="71">
        <v>-21</v>
      </c>
      <c r="C18" s="72">
        <v>-20</v>
      </c>
      <c r="D18" s="73">
        <v>430</v>
      </c>
      <c r="E18" s="74">
        <v>890</v>
      </c>
      <c r="F18" s="73">
        <v>245</v>
      </c>
      <c r="G18" s="74">
        <v>505</v>
      </c>
      <c r="H18" s="73">
        <f t="shared" ref="H18:H20" si="3">F18+(($H$7-$F$7)*(D18-F18)/($D$7-$F$7))</f>
        <v>430</v>
      </c>
      <c r="I18" s="167">
        <f t="shared" ref="I18:I20" si="4">G18+(($H$7-$F$7)*(E18-G18)/($D$7-$F$7))</f>
        <v>890</v>
      </c>
      <c r="J18" s="312">
        <f>IF(AND($J$7&gt;=C18,$J$7&lt;=C19),(H18+(($J$7-C18)*(H19-H18)/(C19-C18))),IF(AND($J$7&gt;=C19,$J$7&lt;=C20),(H19+(($J$7)*(H20-H19)/(C19-C18))),"error"))</f>
        <v>486.25</v>
      </c>
      <c r="K18" s="322">
        <f>IF(AND($J$7&gt;=C18,$J$7&lt;=C19),(I18+(($J$7-C18)*(I19-I18)/(C19-C18))),IF(AND($J$7&gt;=C19,$J$7&lt;=C20),(I19+(($J$7)*(I20-I19)/(C19-C18))),"error"))</f>
        <v>1010</v>
      </c>
      <c r="L18" s="5"/>
      <c r="M18" s="46"/>
      <c r="N18" s="154"/>
      <c r="O18" s="5"/>
      <c r="P18" s="5"/>
      <c r="Q18" s="5"/>
      <c r="R18" s="5"/>
      <c r="S18" s="5"/>
      <c r="T18" s="5"/>
      <c r="U18" s="5"/>
      <c r="V18" s="5"/>
      <c r="W18" s="5"/>
      <c r="X18" s="5"/>
      <c r="Y18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5" customHeight="1" x14ac:dyDescent="0.2">
      <c r="A19" s="310"/>
      <c r="B19" s="82">
        <v>-1</v>
      </c>
      <c r="C19" s="83">
        <v>0</v>
      </c>
      <c r="D19" s="84">
        <v>505</v>
      </c>
      <c r="E19" s="85">
        <v>1050</v>
      </c>
      <c r="F19" s="84">
        <v>285</v>
      </c>
      <c r="G19" s="85">
        <v>590</v>
      </c>
      <c r="H19" s="84">
        <f t="shared" si="3"/>
        <v>505</v>
      </c>
      <c r="I19" s="168">
        <f t="shared" si="4"/>
        <v>1050</v>
      </c>
      <c r="J19" s="313"/>
      <c r="K19" s="316"/>
      <c r="L19" s="5"/>
      <c r="M19" s="5"/>
      <c r="N19" s="15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5.75" customHeight="1" thickBot="1" x14ac:dyDescent="0.25">
      <c r="A20" s="325"/>
      <c r="B20" s="173">
        <v>19</v>
      </c>
      <c r="C20" s="174">
        <v>20</v>
      </c>
      <c r="D20" s="175">
        <v>590</v>
      </c>
      <c r="E20" s="176">
        <v>1225</v>
      </c>
      <c r="F20" s="175">
        <v>335</v>
      </c>
      <c r="G20" s="176">
        <v>695</v>
      </c>
      <c r="H20" s="175">
        <f t="shared" si="3"/>
        <v>590</v>
      </c>
      <c r="I20" s="177">
        <f t="shared" si="4"/>
        <v>1225</v>
      </c>
      <c r="J20" s="326"/>
      <c r="K20" s="327"/>
      <c r="L20" s="5"/>
      <c r="M20" s="5"/>
      <c r="N20" s="154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3.5" customHeight="1" x14ac:dyDescent="0.2">
      <c r="A21" s="5"/>
      <c r="B21" s="5"/>
      <c r="C21" s="5"/>
      <c r="D21" s="5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5.75" hidden="1" customHeight="1" x14ac:dyDescent="0.2">
      <c r="A22" s="57"/>
      <c r="B22" s="57"/>
      <c r="C22" s="57"/>
      <c r="D22" s="172"/>
      <c r="E22" s="57"/>
      <c r="F22" s="57"/>
      <c r="G22" s="57"/>
      <c r="H22" s="57"/>
      <c r="I22" s="57"/>
      <c r="J22" s="57"/>
      <c r="K22" s="57"/>
      <c r="L22" s="124"/>
      <c r="M22" s="5"/>
      <c r="N22" s="5"/>
      <c r="O22" s="5"/>
      <c r="P22" s="5"/>
      <c r="Q22" s="5"/>
      <c r="R22" s="158" t="s">
        <v>15</v>
      </c>
      <c r="S22" s="158" t="s">
        <v>38</v>
      </c>
      <c r="T22" s="5"/>
      <c r="U22" s="159" t="s">
        <v>39</v>
      </c>
      <c r="V22" s="5"/>
      <c r="W22" s="160" t="s">
        <v>40</v>
      </c>
      <c r="X22" s="160" t="s">
        <v>41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9" hidden="1" customHeight="1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61"/>
      <c r="M23" s="5"/>
      <c r="N23" s="5"/>
      <c r="O23" s="5"/>
      <c r="P23" s="5"/>
      <c r="Q23" s="5"/>
      <c r="R23" s="155">
        <v>0</v>
      </c>
      <c r="S23" s="155">
        <v>0</v>
      </c>
      <c r="T23" s="5"/>
      <c r="U23" s="5"/>
      <c r="V23" s="5"/>
      <c r="W23" s="159" t="s">
        <v>16</v>
      </c>
      <c r="X23" s="159" t="s">
        <v>42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9" hidden="1" customHeight="1" x14ac:dyDescent="0.2">
      <c r="A24" s="56"/>
      <c r="B24" s="56"/>
      <c r="C24" s="56"/>
      <c r="D24" s="56"/>
      <c r="E24" s="56"/>
      <c r="F24" s="56"/>
      <c r="G24" s="56"/>
      <c r="H24" s="56"/>
      <c r="I24" s="56"/>
      <c r="J24" s="100"/>
      <c r="K24" s="56"/>
      <c r="L24" s="156"/>
      <c r="M24" s="5"/>
      <c r="N24" s="5"/>
      <c r="O24" s="5"/>
      <c r="P24" s="5"/>
      <c r="Q24" s="5"/>
      <c r="R24" s="155">
        <v>5</v>
      </c>
      <c r="S24" s="155">
        <v>2</v>
      </c>
      <c r="T24" s="5"/>
      <c r="U24" s="5"/>
      <c r="V24" s="5"/>
      <c r="W24" s="159" t="s">
        <v>43</v>
      </c>
      <c r="X24" s="159" t="s">
        <v>44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9" hidden="1" customHeight="1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61"/>
      <c r="M25" s="5"/>
      <c r="N25" s="5"/>
      <c r="O25" s="5"/>
      <c r="P25" s="5"/>
      <c r="Q25" s="5"/>
      <c r="R25" s="155">
        <v>10</v>
      </c>
      <c r="S25" s="155">
        <v>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9" hidden="1" customHeight="1" x14ac:dyDescent="0.2">
      <c r="A26" s="56"/>
      <c r="B26" s="56"/>
      <c r="C26" s="56"/>
      <c r="D26" s="56"/>
      <c r="E26" s="56"/>
      <c r="F26" s="56"/>
      <c r="G26" s="56"/>
      <c r="H26" s="56"/>
      <c r="I26" s="56"/>
      <c r="J26" s="101"/>
      <c r="K26" s="101"/>
      <c r="L26" s="61"/>
      <c r="M26" s="5"/>
      <c r="N26" s="5"/>
      <c r="O26" s="5"/>
      <c r="P26" s="5"/>
      <c r="Q26" s="5"/>
      <c r="R26" s="155">
        <v>15</v>
      </c>
      <c r="S26" s="155">
        <v>6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9" hidden="1" customHeight="1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61"/>
      <c r="M27" s="5"/>
      <c r="N27" s="5"/>
      <c r="O27" s="5"/>
      <c r="P27" s="5"/>
      <c r="Q27" s="5"/>
      <c r="R27" s="155">
        <v>20</v>
      </c>
      <c r="S27" s="155">
        <v>8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9" hidden="1" customHeight="1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61"/>
      <c r="M28" s="5"/>
      <c r="N28" s="5"/>
      <c r="O28" s="5"/>
      <c r="P28" s="5"/>
      <c r="Q28" s="5"/>
      <c r="R28" s="155">
        <v>25</v>
      </c>
      <c r="S28" s="155">
        <v>10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9" hidden="1" customHeight="1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61"/>
      <c r="M29" s="5"/>
      <c r="N29" s="5"/>
      <c r="O29" s="5"/>
      <c r="P29" s="5"/>
      <c r="Q29" s="5"/>
      <c r="R29" s="155">
        <v>30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9" hidden="1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61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9" hidden="1" customHeight="1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132"/>
      <c r="M31" s="5"/>
      <c r="N31" s="5"/>
      <c r="O31" s="5"/>
      <c r="P31" s="5"/>
      <c r="Q31" s="5"/>
      <c r="R31" s="159" t="s">
        <v>45</v>
      </c>
      <c r="S31" s="159" t="s">
        <v>46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3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3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3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3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3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3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5" customHeight="1" x14ac:dyDescent="0.2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</row>
    <row r="39" spans="1:35" ht="15" customHeight="1" x14ac:dyDescent="0.2">
      <c r="AB39" s="155"/>
      <c r="AC39" s="155"/>
      <c r="AD39" s="155"/>
      <c r="AE39" s="155"/>
      <c r="AF39" s="155"/>
      <c r="AG39" s="155"/>
      <c r="AH39" s="155"/>
      <c r="AI39" s="155"/>
    </row>
    <row r="40" spans="1:35" ht="15" customHeight="1" x14ac:dyDescent="0.2">
      <c r="AB40" s="155"/>
      <c r="AC40" s="155"/>
      <c r="AD40" s="155"/>
      <c r="AE40" s="155"/>
      <c r="AF40" s="155"/>
      <c r="AG40" s="155"/>
      <c r="AH40" s="155"/>
      <c r="AI40" s="155"/>
    </row>
  </sheetData>
  <sheetProtection sheet="1" objects="1" scenarios="1"/>
  <mergeCells count="57">
    <mergeCell ref="X15:X17"/>
    <mergeCell ref="Y15:Y17"/>
    <mergeCell ref="A18:A20"/>
    <mergeCell ref="J18:J20"/>
    <mergeCell ref="K18:K20"/>
    <mergeCell ref="A15:A17"/>
    <mergeCell ref="J15:J17"/>
    <mergeCell ref="K15:K17"/>
    <mergeCell ref="O15:O17"/>
    <mergeCell ref="X9:X11"/>
    <mergeCell ref="Y9:Y11"/>
    <mergeCell ref="Z9:Z17"/>
    <mergeCell ref="AA9:AA17"/>
    <mergeCell ref="A12:A14"/>
    <mergeCell ref="J12:J14"/>
    <mergeCell ref="K12:K14"/>
    <mergeCell ref="O12:O14"/>
    <mergeCell ref="X12:X14"/>
    <mergeCell ref="Y12:Y14"/>
    <mergeCell ref="A9:A11"/>
    <mergeCell ref="J9:J11"/>
    <mergeCell ref="K9:K11"/>
    <mergeCell ref="L9:L17"/>
    <mergeCell ref="M9:M17"/>
    <mergeCell ref="O9:O11"/>
    <mergeCell ref="H7:I7"/>
    <mergeCell ref="AG7:AH7"/>
    <mergeCell ref="J7:K7"/>
    <mergeCell ref="L7:M7"/>
    <mergeCell ref="O7:O8"/>
    <mergeCell ref="P7:P8"/>
    <mergeCell ref="Q7:Q8"/>
    <mergeCell ref="R7:S7"/>
    <mergeCell ref="T7:U7"/>
    <mergeCell ref="V7:W7"/>
    <mergeCell ref="X7:Y7"/>
    <mergeCell ref="Z7:AA7"/>
    <mergeCell ref="AE7:AF7"/>
    <mergeCell ref="A7:A8"/>
    <mergeCell ref="B7:B8"/>
    <mergeCell ref="C7:C8"/>
    <mergeCell ref="D7:E7"/>
    <mergeCell ref="F7:G7"/>
    <mergeCell ref="A1:E1"/>
    <mergeCell ref="A4:M4"/>
    <mergeCell ref="O4:AA4"/>
    <mergeCell ref="AD5:AI5"/>
    <mergeCell ref="D6:E6"/>
    <mergeCell ref="F6:G6"/>
    <mergeCell ref="H6:I6"/>
    <mergeCell ref="J6:K6"/>
    <mergeCell ref="L6:M6"/>
    <mergeCell ref="R6:S6"/>
    <mergeCell ref="T6:U6"/>
    <mergeCell ref="V6:W6"/>
    <mergeCell ref="X6:Y6"/>
    <mergeCell ref="Z6:AA6"/>
  </mergeCells>
  <conditionalFormatting sqref="AE9:AH9">
    <cfRule type="containsText" dxfId="20" priority="5" stopIfTrue="1" operator="containsText" text="Altitude">
      <formula>NOT(ISERROR(FIND(UPPER("Altitude"),UPPER(AE9))))</formula>
      <formula>"Altitude"</formula>
    </cfRule>
  </conditionalFormatting>
  <conditionalFormatting sqref="AE11:AH11">
    <cfRule type="containsText" dxfId="19" priority="1" stopIfTrue="1" operator="containsText" text="Altitude">
      <formula>NOT(ISERROR(FIND(UPPER("Altitude"),UPPER(AE11))))</formula>
      <formula>"Altitude"</formula>
    </cfRule>
  </conditionalFormatting>
  <pageMargins left="0.7" right="0.7" top="0.75" bottom="0.75" header="0.3" footer="0.3"/>
  <pageSetup orientation="portrait" r:id="rId1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showGridLines="0" workbookViewId="0">
      <selection activeCell="B12" sqref="B12"/>
    </sheetView>
  </sheetViews>
  <sheetFormatPr defaultColWidth="10.89453125" defaultRowHeight="15" customHeight="1" x14ac:dyDescent="0.2"/>
  <cols>
    <col min="1" max="1" width="20.17578125" style="1" customWidth="1"/>
    <col min="2" max="2" width="20.4453125" style="1" customWidth="1"/>
    <col min="3" max="3" width="20.3125" style="1" customWidth="1"/>
    <col min="4" max="4" width="1.4765625" style="1" customWidth="1"/>
    <col min="5" max="5" width="18.6953125" style="1" customWidth="1"/>
    <col min="6" max="6" width="2.28515625" style="1" customWidth="1"/>
    <col min="7" max="10" width="19.37109375" style="1" customWidth="1"/>
    <col min="11" max="11" width="5.24609375" style="1" customWidth="1"/>
    <col min="12" max="12" width="10.89453125" style="1" customWidth="1"/>
    <col min="13" max="16384" width="10.89453125" style="1"/>
  </cols>
  <sheetData>
    <row r="1" spans="1:11" ht="36" customHeight="1" x14ac:dyDescent="0.5">
      <c r="A1" s="331" t="s">
        <v>0</v>
      </c>
      <c r="B1" s="332"/>
      <c r="C1" s="2"/>
      <c r="D1" s="3"/>
      <c r="E1" s="2"/>
      <c r="F1" s="328" t="s">
        <v>1</v>
      </c>
      <c r="G1" s="329"/>
      <c r="H1" s="329"/>
      <c r="I1" s="329"/>
      <c r="J1" s="329"/>
      <c r="K1" s="330"/>
    </row>
    <row r="2" spans="1:11" ht="15.75" customHeight="1" x14ac:dyDescent="0.2">
      <c r="A2" s="4"/>
      <c r="B2" s="5"/>
      <c r="C2" s="5"/>
      <c r="D2" s="5"/>
      <c r="E2" s="5"/>
      <c r="F2" s="5"/>
      <c r="G2" s="6"/>
      <c r="H2" s="6"/>
      <c r="I2" s="6"/>
      <c r="J2" s="6"/>
      <c r="K2" s="7"/>
    </row>
    <row r="3" spans="1:11" ht="35.25" customHeight="1" x14ac:dyDescent="0.2">
      <c r="A3" s="258" t="s">
        <v>2</v>
      </c>
      <c r="B3" s="230"/>
      <c r="C3" s="230"/>
      <c r="D3" s="8"/>
      <c r="E3" s="5"/>
      <c r="F3" s="9"/>
      <c r="G3" s="231" t="s">
        <v>91</v>
      </c>
      <c r="H3" s="232"/>
      <c r="I3" s="232"/>
      <c r="J3" s="233"/>
      <c r="K3" s="11"/>
    </row>
    <row r="4" spans="1:11" ht="15" customHeight="1" x14ac:dyDescent="0.2">
      <c r="A4" s="12"/>
      <c r="B4" s="13"/>
      <c r="C4" s="13"/>
      <c r="D4" s="5"/>
      <c r="E4" s="13"/>
      <c r="F4" s="9"/>
      <c r="G4" s="234"/>
      <c r="H4" s="235"/>
      <c r="I4" s="235"/>
      <c r="J4" s="236"/>
      <c r="K4" s="11"/>
    </row>
    <row r="5" spans="1:11" ht="25.5" customHeight="1" x14ac:dyDescent="0.2">
      <c r="A5" s="142" t="s">
        <v>3</v>
      </c>
      <c r="B5" s="142" t="s">
        <v>4</v>
      </c>
      <c r="C5" s="147" t="s">
        <v>5</v>
      </c>
      <c r="D5" s="15"/>
      <c r="E5" s="152" t="s">
        <v>6</v>
      </c>
      <c r="F5" s="16"/>
      <c r="G5" s="234"/>
      <c r="H5" s="235"/>
      <c r="I5" s="235"/>
      <c r="J5" s="236"/>
      <c r="K5" s="11"/>
    </row>
    <row r="6" spans="1:11" ht="24" customHeight="1" x14ac:dyDescent="0.3">
      <c r="A6" s="189">
        <v>0</v>
      </c>
      <c r="B6" s="189">
        <v>1013</v>
      </c>
      <c r="C6" s="144">
        <f>(1013-B6)*(IF(A6&lt;3000,28,30))+A6</f>
        <v>0</v>
      </c>
      <c r="D6" s="17"/>
      <c r="E6" s="189">
        <v>1045</v>
      </c>
      <c r="F6" s="16"/>
      <c r="G6" s="237"/>
      <c r="H6" s="238"/>
      <c r="I6" s="238"/>
      <c r="J6" s="239"/>
      <c r="K6" s="11"/>
    </row>
    <row r="7" spans="1:11" ht="28.5" customHeight="1" x14ac:dyDescent="0.2">
      <c r="A7" s="18"/>
      <c r="B7" s="19"/>
      <c r="C7" s="216" t="str">
        <f>IF(C6&lt;=8000,"Zp max 8000 ft","Zp max dépassée")</f>
        <v>Zp max 8000 ft</v>
      </c>
      <c r="D7" s="21"/>
      <c r="E7" s="221" t="str">
        <f>IF(E6&lt;=1050,"Maxi T/O 1050 Kg   Maxi LND 1045 Kg","Masse maxi dépassée")</f>
        <v>Maxi T/O 1050 Kg   Maxi LND 1045 Kg</v>
      </c>
      <c r="F7" s="5"/>
      <c r="G7" s="10"/>
      <c r="H7" s="10"/>
      <c r="I7" s="10"/>
      <c r="J7" s="10"/>
      <c r="K7" s="7"/>
    </row>
    <row r="8" spans="1:11" ht="17.25" customHeight="1" x14ac:dyDescent="0.2">
      <c r="A8" s="146" t="s">
        <v>7</v>
      </c>
      <c r="B8" s="148" t="s">
        <v>8</v>
      </c>
      <c r="C8" s="148" t="s">
        <v>67</v>
      </c>
      <c r="D8" s="22"/>
      <c r="E8" s="259" t="s">
        <v>73</v>
      </c>
      <c r="F8" s="23"/>
      <c r="G8" s="14"/>
      <c r="H8" s="14"/>
      <c r="I8" s="14"/>
      <c r="J8" s="14"/>
      <c r="K8" s="7"/>
    </row>
    <row r="9" spans="1:11" ht="31.5" customHeight="1" x14ac:dyDescent="0.2">
      <c r="A9" s="189">
        <v>10</v>
      </c>
      <c r="B9" s="149">
        <f>15+(($C$6/1000)*(-2))</f>
        <v>15</v>
      </c>
      <c r="C9" s="149">
        <f>IF(AND(A9-B9&gt;=-20,A9-B9&lt;=20),A9-B9,"ERROR")</f>
        <v>-5</v>
      </c>
      <c r="D9" s="15"/>
      <c r="E9" s="260"/>
      <c r="F9" s="23"/>
      <c r="G9" s="24"/>
      <c r="H9" s="24"/>
      <c r="I9" s="24"/>
      <c r="J9" s="24"/>
      <c r="K9" s="7"/>
    </row>
    <row r="10" spans="1:11" ht="16.5" customHeight="1" x14ac:dyDescent="0.2">
      <c r="A10" s="25"/>
      <c r="B10" s="26"/>
      <c r="C10" s="26"/>
      <c r="D10" s="5"/>
      <c r="E10" s="26"/>
      <c r="F10" s="27"/>
      <c r="G10" s="240" t="s">
        <v>9</v>
      </c>
      <c r="H10" s="241"/>
      <c r="I10" s="240" t="s">
        <v>10</v>
      </c>
      <c r="J10" s="241"/>
      <c r="K10" s="28"/>
    </row>
    <row r="11" spans="1:11" ht="45" customHeight="1" x14ac:dyDescent="0.2">
      <c r="A11" s="146" t="s">
        <v>65</v>
      </c>
      <c r="B11" s="146" t="s">
        <v>95</v>
      </c>
      <c r="C11" s="146" t="s">
        <v>66</v>
      </c>
      <c r="D11" s="15"/>
      <c r="E11" s="251" t="s">
        <v>11</v>
      </c>
      <c r="F11" s="29"/>
      <c r="G11" s="30" t="s">
        <v>12</v>
      </c>
      <c r="H11" s="31" t="s">
        <v>13</v>
      </c>
      <c r="I11" s="30" t="s">
        <v>12</v>
      </c>
      <c r="J11" s="31" t="s">
        <v>14</v>
      </c>
      <c r="K11" s="28"/>
    </row>
    <row r="12" spans="1:11" ht="36.75" customHeight="1" x14ac:dyDescent="0.2">
      <c r="A12" s="190" t="s">
        <v>15</v>
      </c>
      <c r="B12" s="191">
        <v>0</v>
      </c>
      <c r="C12" s="190" t="s">
        <v>16</v>
      </c>
      <c r="D12" s="15"/>
      <c r="E12" s="252"/>
      <c r="F12" s="29"/>
      <c r="G12" s="32">
        <f>IFERROR('Calculs DR460'!AE10,"ALT or TEMP out of range!")</f>
        <v>284.84375</v>
      </c>
      <c r="H12" s="33">
        <f>IFERROR('Calculs DR460'!AF10,"ALT or TEMP out of range!")</f>
        <v>569.78125</v>
      </c>
      <c r="I12" s="32">
        <f>IFERROR('Calculs DR460'!AG10,"ALT or TEMP out of range!")</f>
        <v>243.90625</v>
      </c>
      <c r="J12" s="33">
        <f>IFERROR('Calculs DR460'!AH10,"ALT or TEMP out of range!")</f>
        <v>534.1875</v>
      </c>
      <c r="K12" s="28"/>
    </row>
    <row r="13" spans="1:11" ht="28.5" customHeight="1" x14ac:dyDescent="0.2">
      <c r="A13" s="34"/>
      <c r="B13" s="35"/>
      <c r="C13" s="36" t="s">
        <v>17</v>
      </c>
      <c r="D13" s="5"/>
      <c r="E13" s="37"/>
      <c r="F13" s="5"/>
      <c r="G13" s="38"/>
      <c r="H13" s="39"/>
      <c r="I13" s="40"/>
      <c r="J13" s="38"/>
      <c r="K13" s="41"/>
    </row>
    <row r="14" spans="1:11" ht="33.75" customHeight="1" x14ac:dyDescent="0.2">
      <c r="A14" s="224" t="s">
        <v>92</v>
      </c>
      <c r="B14" s="224"/>
      <c r="C14" s="224"/>
      <c r="D14" s="223"/>
      <c r="E14" s="223"/>
      <c r="F14" s="27"/>
      <c r="G14" s="250" t="s">
        <v>18</v>
      </c>
      <c r="H14" s="241"/>
      <c r="I14" s="250" t="s">
        <v>97</v>
      </c>
      <c r="J14" s="241"/>
      <c r="K14" s="28"/>
    </row>
    <row r="15" spans="1:11" ht="40.5" customHeight="1" x14ac:dyDescent="0.2">
      <c r="A15" s="224" t="s">
        <v>93</v>
      </c>
      <c r="B15" s="224"/>
      <c r="C15" s="224"/>
      <c r="D15" s="223"/>
      <c r="E15" s="223"/>
      <c r="F15" s="42"/>
      <c r="G15" s="43">
        <f>G12*1.3</f>
        <v>370.296875</v>
      </c>
      <c r="H15" s="44">
        <f>H12*1.3</f>
        <v>740.71562500000005</v>
      </c>
      <c r="I15" s="43">
        <f>I12*1.3</f>
        <v>317.078125</v>
      </c>
      <c r="J15" s="44">
        <f>J12*1.3</f>
        <v>694.44375000000002</v>
      </c>
      <c r="K15" s="28"/>
    </row>
    <row r="16" spans="1:11" ht="30.75" customHeight="1" x14ac:dyDescent="0.2">
      <c r="A16" s="45"/>
      <c r="B16" s="5"/>
      <c r="C16" s="5"/>
      <c r="D16" s="5"/>
      <c r="E16" s="5"/>
      <c r="F16" s="5"/>
      <c r="G16" s="46"/>
      <c r="H16" s="47" t="s">
        <v>19</v>
      </c>
      <c r="I16" s="46"/>
      <c r="J16" s="47" t="s">
        <v>20</v>
      </c>
      <c r="K16" s="7"/>
    </row>
    <row r="17" spans="1:11" ht="20.25" customHeight="1" x14ac:dyDescent="0.2">
      <c r="A17" s="45"/>
      <c r="B17" s="5"/>
      <c r="C17" s="48"/>
      <c r="D17" s="48"/>
      <c r="E17" s="48"/>
      <c r="F17" s="5"/>
      <c r="G17" s="48"/>
      <c r="H17" s="48"/>
      <c r="I17" s="48"/>
      <c r="J17" s="49"/>
      <c r="K17" s="50"/>
    </row>
    <row r="18" spans="1:11" ht="15" customHeight="1" x14ac:dyDescent="0.2">
      <c r="A18" s="45"/>
      <c r="B18" s="5"/>
      <c r="C18" s="5"/>
      <c r="D18" s="5"/>
      <c r="E18" s="5"/>
      <c r="F18" s="5"/>
      <c r="G18" s="5"/>
      <c r="H18" s="5"/>
      <c r="I18" s="5"/>
      <c r="J18" s="5"/>
      <c r="K18" s="7"/>
    </row>
    <row r="19" spans="1:11" ht="15" customHeight="1" x14ac:dyDescent="0.2">
      <c r="A19" s="51"/>
      <c r="B19" s="52"/>
      <c r="C19" s="53"/>
      <c r="D19" s="53"/>
      <c r="E19" s="53"/>
      <c r="F19" s="53"/>
      <c r="G19" s="53"/>
      <c r="H19" s="53"/>
      <c r="I19" s="53"/>
      <c r="J19" s="53"/>
      <c r="K19" s="54"/>
    </row>
  </sheetData>
  <sheetProtection sheet="1" objects="1" scenarios="1" selectLockedCells="1"/>
  <mergeCells count="12">
    <mergeCell ref="A15:C15"/>
    <mergeCell ref="I14:J14"/>
    <mergeCell ref="G14:H14"/>
    <mergeCell ref="F1:K1"/>
    <mergeCell ref="E11:E12"/>
    <mergeCell ref="A1:B1"/>
    <mergeCell ref="A3:C3"/>
    <mergeCell ref="G10:H10"/>
    <mergeCell ref="I10:J10"/>
    <mergeCell ref="G3:J6"/>
    <mergeCell ref="E8:E9"/>
    <mergeCell ref="A14:C14"/>
  </mergeCells>
  <conditionalFormatting sqref="B12">
    <cfRule type="expression" dxfId="18" priority="1">
      <formula>(AND($A$12="Arrière",$B$12&gt;10))</formula>
    </cfRule>
  </conditionalFormatting>
  <conditionalFormatting sqref="C6">
    <cfRule type="cellIs" dxfId="17" priority="10" stopIfTrue="1" operator="greaterThan">
      <formula>8000</formula>
    </cfRule>
  </conditionalFormatting>
  <conditionalFormatting sqref="C7">
    <cfRule type="containsText" dxfId="16" priority="11" stopIfTrue="1" operator="containsText" text="&quot;Dépassement&quot;">
      <formula>NOT(ISERROR(SEARCH("""Dépassement""",C7)))</formula>
    </cfRule>
  </conditionalFormatting>
  <conditionalFormatting sqref="C9">
    <cfRule type="containsText" dxfId="15" priority="13" stopIfTrue="1" operator="containsText" text="error">
      <formula>NOT(ISERROR(FIND(UPPER("error"),UPPER(C9))))</formula>
      <formula>"error"</formula>
    </cfRule>
  </conditionalFormatting>
  <conditionalFormatting sqref="E6">
    <cfRule type="cellIs" dxfId="14" priority="2" operator="greaterThan">
      <formula>1050</formula>
    </cfRule>
  </conditionalFormatting>
  <conditionalFormatting sqref="E7">
    <cfRule type="expression" dxfId="13" priority="4">
      <formula>SIE6&gt;1100="Masse maxi dépassée"</formula>
    </cfRule>
    <cfRule type="expression" dxfId="12" priority="5">
      <formula>"siE6&lt;=1100""Masse maxi 1100 Kg"""</formula>
    </cfRule>
  </conditionalFormatting>
  <conditionalFormatting sqref="G12:J12">
    <cfRule type="containsText" dxfId="11" priority="14" stopIfTrue="1" operator="containsText" text="ALT">
      <formula>NOT(ISERROR(FIND(UPPER("ALT"),UPPER(G12))))</formula>
      <formula>"ALT"</formula>
    </cfRule>
  </conditionalFormatting>
  <dataValidations count="2">
    <dataValidation type="list" allowBlank="1" showInputMessage="1" showErrorMessage="1" sqref="A12" xr:uid="{00000000-0002-0000-0200-000000000000}">
      <formula1>"Face,Arrière"</formula1>
    </dataValidation>
    <dataValidation type="list" allowBlank="1" showInputMessage="1" showErrorMessage="1" sqref="C12" xr:uid="{00000000-0002-0000-0200-000001000000}">
      <formula1>"Dure,Herbe"</formula1>
    </dataValidation>
  </dataValidations>
  <pageMargins left="0.7" right="0.7" top="0.75" bottom="0.75" header="0.3" footer="0.3"/>
  <pageSetup scale="62" orientation="landscape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38"/>
  <sheetViews>
    <sheetView showGridLines="0" workbookViewId="0">
      <selection activeCell="AH10" sqref="AH10"/>
    </sheetView>
  </sheetViews>
  <sheetFormatPr defaultColWidth="10.89453125" defaultRowHeight="15" customHeight="1" x14ac:dyDescent="0.2"/>
  <cols>
    <col min="1" max="1" width="12.375" style="1" customWidth="1"/>
    <col min="2" max="2" width="5.6484375" style="1" customWidth="1"/>
    <col min="3" max="3" width="8.203125" style="1" customWidth="1"/>
    <col min="4" max="4" width="18.16015625" style="1" customWidth="1"/>
    <col min="5" max="5" width="19.7734375" style="1" customWidth="1"/>
    <col min="6" max="6" width="17.484375" style="1" customWidth="1"/>
    <col min="7" max="7" width="18.96484375" style="1" customWidth="1"/>
    <col min="8" max="8" width="17.484375" style="1" customWidth="1"/>
    <col min="9" max="9" width="18.16015625" style="1" customWidth="1"/>
    <col min="10" max="10" width="16.41015625" style="1" customWidth="1"/>
    <col min="11" max="11" width="18.16015625" style="1" customWidth="1"/>
    <col min="12" max="12" width="17.08203125" style="1" customWidth="1"/>
    <col min="13" max="13" width="17.484375" style="1" customWidth="1"/>
    <col min="14" max="14" width="6.1875" style="1" customWidth="1"/>
    <col min="15" max="15" width="11.43359375" style="1" customWidth="1"/>
    <col min="16" max="16" width="5.37890625" style="1" customWidth="1"/>
    <col min="17" max="17" width="8.47265625" style="1" customWidth="1"/>
    <col min="18" max="19" width="22.1953125" style="1" customWidth="1"/>
    <col min="20" max="21" width="22.05859375" style="1" customWidth="1"/>
    <col min="22" max="25" width="23" style="1" customWidth="1"/>
    <col min="26" max="27" width="22.46484375" style="1" customWidth="1"/>
    <col min="28" max="30" width="14.796875" style="1" customWidth="1"/>
    <col min="31" max="35" width="30.9375" style="1" customWidth="1"/>
    <col min="36" max="36" width="10.89453125" style="1" customWidth="1"/>
    <col min="37" max="16384" width="10.89453125" style="1"/>
  </cols>
  <sheetData>
    <row r="1" spans="1:36" ht="36" customHeight="1" x14ac:dyDescent="0.5">
      <c r="A1" s="338" t="s">
        <v>21</v>
      </c>
      <c r="B1" s="339"/>
      <c r="C1" s="339"/>
      <c r="D1" s="339"/>
      <c r="E1" s="339"/>
      <c r="F1" s="55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</row>
    <row r="2" spans="1:36" ht="13.5" customHeight="1" x14ac:dyDescent="0.2">
      <c r="A2" s="57"/>
      <c r="B2" s="57"/>
      <c r="C2" s="57"/>
      <c r="D2" s="57"/>
      <c r="E2" s="57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</row>
    <row r="3" spans="1:36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6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6"/>
      <c r="AE3" s="56"/>
      <c r="AF3" s="56"/>
      <c r="AG3" s="56"/>
      <c r="AH3" s="56"/>
      <c r="AI3" s="56"/>
    </row>
    <row r="4" spans="1:36" ht="18.75" customHeight="1" x14ac:dyDescent="0.2">
      <c r="A4" s="333" t="s">
        <v>22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59"/>
      <c r="O4" s="265" t="s">
        <v>23</v>
      </c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5"/>
      <c r="AC4" s="5"/>
      <c r="AD4" s="104"/>
      <c r="AE4" s="58"/>
      <c r="AF4" s="58"/>
      <c r="AG4" s="58"/>
      <c r="AH4" s="58"/>
      <c r="AI4" s="58"/>
    </row>
    <row r="5" spans="1:36" ht="15.75" customHeight="1" thickBot="1" x14ac:dyDescent="0.25">
      <c r="A5" s="57"/>
      <c r="B5" s="57"/>
      <c r="C5" s="57"/>
      <c r="D5" s="60"/>
      <c r="E5" s="60"/>
      <c r="F5" s="60"/>
      <c r="G5" s="60"/>
      <c r="H5" s="60"/>
      <c r="I5" s="60"/>
      <c r="J5" s="60"/>
      <c r="K5" s="60"/>
      <c r="L5" s="60"/>
      <c r="M5" s="60"/>
      <c r="N5" s="56"/>
      <c r="O5" s="57"/>
      <c r="P5" s="57"/>
      <c r="Q5" s="57"/>
      <c r="R5" s="60"/>
      <c r="S5" s="60"/>
      <c r="T5" s="60"/>
      <c r="U5" s="60"/>
      <c r="V5" s="60"/>
      <c r="W5" s="60"/>
      <c r="X5" s="60"/>
      <c r="Y5" s="60"/>
      <c r="Z5" s="185"/>
      <c r="AA5" s="105"/>
      <c r="AB5" s="5"/>
      <c r="AC5" s="5"/>
      <c r="AD5" s="267" t="s">
        <v>24</v>
      </c>
      <c r="AE5" s="268"/>
      <c r="AF5" s="268"/>
      <c r="AG5" s="268"/>
      <c r="AH5" s="268"/>
      <c r="AI5" s="269"/>
    </row>
    <row r="6" spans="1:36" ht="15.75" customHeight="1" thickBot="1" x14ac:dyDescent="0.25">
      <c r="A6" s="62"/>
      <c r="B6" s="62"/>
      <c r="C6" s="63"/>
      <c r="D6" s="270" t="s">
        <v>25</v>
      </c>
      <c r="E6" s="271"/>
      <c r="F6" s="270" t="s">
        <v>25</v>
      </c>
      <c r="G6" s="271"/>
      <c r="H6" s="270" t="s">
        <v>26</v>
      </c>
      <c r="I6" s="271"/>
      <c r="J6" s="272" t="s">
        <v>74</v>
      </c>
      <c r="K6" s="273"/>
      <c r="L6" s="274" t="s">
        <v>27</v>
      </c>
      <c r="M6" s="275"/>
      <c r="N6" s="64"/>
      <c r="O6" s="65"/>
      <c r="P6" s="62"/>
      <c r="Q6" s="63"/>
      <c r="R6" s="270" t="s">
        <v>25</v>
      </c>
      <c r="S6" s="271"/>
      <c r="T6" s="270" t="s">
        <v>25</v>
      </c>
      <c r="U6" s="271"/>
      <c r="V6" s="270" t="s">
        <v>26</v>
      </c>
      <c r="W6" s="271"/>
      <c r="X6" s="272" t="s">
        <v>74</v>
      </c>
      <c r="Y6" s="276"/>
      <c r="Z6" s="277" t="s">
        <v>27</v>
      </c>
      <c r="AA6" s="278"/>
      <c r="AB6" s="5"/>
      <c r="AC6" s="5"/>
      <c r="AD6" s="206"/>
      <c r="AE6" s="60"/>
      <c r="AF6" s="60"/>
      <c r="AG6" s="60"/>
      <c r="AH6" s="60"/>
      <c r="AI6" s="57"/>
    </row>
    <row r="7" spans="1:36" ht="18.75" customHeight="1" x14ac:dyDescent="0.25">
      <c r="A7" s="279" t="s">
        <v>28</v>
      </c>
      <c r="B7" s="281" t="s">
        <v>29</v>
      </c>
      <c r="C7" s="283" t="s">
        <v>79</v>
      </c>
      <c r="D7" s="285">
        <v>1050</v>
      </c>
      <c r="E7" s="286"/>
      <c r="F7" s="285">
        <v>850</v>
      </c>
      <c r="G7" s="286"/>
      <c r="H7" s="287">
        <f>'Perfo DR460 ZY'!E6</f>
        <v>1045</v>
      </c>
      <c r="I7" s="288"/>
      <c r="J7" s="291">
        <f>'Perfo DR460 ZY'!$C$9</f>
        <v>-5</v>
      </c>
      <c r="K7" s="292"/>
      <c r="L7" s="287">
        <f>IF('Perfo DR460 ZY'!$C$6&lt;0,0,'Perfo DR460 ZY'!$C$6)</f>
        <v>0</v>
      </c>
      <c r="M7" s="288"/>
      <c r="N7" s="66"/>
      <c r="O7" s="293" t="s">
        <v>28</v>
      </c>
      <c r="P7" s="281" t="s">
        <v>29</v>
      </c>
      <c r="Q7" s="283" t="s">
        <v>79</v>
      </c>
      <c r="R7" s="285">
        <v>1050</v>
      </c>
      <c r="S7" s="286"/>
      <c r="T7" s="285">
        <v>850</v>
      </c>
      <c r="U7" s="286"/>
      <c r="V7" s="287">
        <f>'Perfo DR460 ZY'!E6</f>
        <v>1045</v>
      </c>
      <c r="W7" s="288"/>
      <c r="X7" s="295">
        <f>'Perfo DR460 ZY'!$C$9</f>
        <v>-5</v>
      </c>
      <c r="Y7" s="296"/>
      <c r="Z7" s="297">
        <f>IF('Perfo DR460 ZY'!$C$6&lt;0,0,'Perfo DR460 ZY'!$C$6)</f>
        <v>0</v>
      </c>
      <c r="AA7" s="298"/>
      <c r="AB7" s="5"/>
      <c r="AC7" s="5"/>
      <c r="AD7" s="211"/>
      <c r="AE7" s="289" t="s">
        <v>30</v>
      </c>
      <c r="AF7" s="290"/>
      <c r="AG7" s="289" t="s">
        <v>31</v>
      </c>
      <c r="AH7" s="290"/>
      <c r="AI7" s="67"/>
    </row>
    <row r="8" spans="1:36" ht="45.75" customHeight="1" thickBot="1" x14ac:dyDescent="0.25">
      <c r="A8" s="280"/>
      <c r="B8" s="282"/>
      <c r="C8" s="284"/>
      <c r="D8" s="68" t="s">
        <v>12</v>
      </c>
      <c r="E8" s="69" t="s">
        <v>32</v>
      </c>
      <c r="F8" s="68" t="s">
        <v>12</v>
      </c>
      <c r="G8" s="69" t="s">
        <v>32</v>
      </c>
      <c r="H8" s="68" t="s">
        <v>12</v>
      </c>
      <c r="I8" s="69" t="s">
        <v>32</v>
      </c>
      <c r="J8" s="68" t="s">
        <v>12</v>
      </c>
      <c r="K8" s="69" t="s">
        <v>32</v>
      </c>
      <c r="L8" s="30" t="s">
        <v>12</v>
      </c>
      <c r="M8" s="31" t="s">
        <v>32</v>
      </c>
      <c r="N8" s="66"/>
      <c r="O8" s="294"/>
      <c r="P8" s="282"/>
      <c r="Q8" s="284"/>
      <c r="R8" s="68" t="s">
        <v>12</v>
      </c>
      <c r="S8" s="69" t="s">
        <v>33</v>
      </c>
      <c r="T8" s="68" t="s">
        <v>12</v>
      </c>
      <c r="U8" s="69" t="s">
        <v>33</v>
      </c>
      <c r="V8" s="68" t="s">
        <v>12</v>
      </c>
      <c r="W8" s="69" t="s">
        <v>33</v>
      </c>
      <c r="X8" s="68" t="s">
        <v>12</v>
      </c>
      <c r="Y8" s="184" t="s">
        <v>33</v>
      </c>
      <c r="Z8" s="186" t="s">
        <v>12</v>
      </c>
      <c r="AA8" s="187" t="s">
        <v>33</v>
      </c>
      <c r="AB8" s="5"/>
      <c r="AC8" s="5"/>
      <c r="AD8" s="208"/>
      <c r="AE8" s="68" t="s">
        <v>12</v>
      </c>
      <c r="AF8" s="69" t="s">
        <v>13</v>
      </c>
      <c r="AG8" s="68" t="s">
        <v>12</v>
      </c>
      <c r="AH8" s="69" t="s">
        <v>14</v>
      </c>
      <c r="AI8" s="70"/>
    </row>
    <row r="9" spans="1:36" ht="18.75" customHeight="1" x14ac:dyDescent="0.2">
      <c r="A9" s="309">
        <v>0</v>
      </c>
      <c r="B9" s="71">
        <v>-5</v>
      </c>
      <c r="C9" s="72">
        <v>-20</v>
      </c>
      <c r="D9" s="73">
        <v>265</v>
      </c>
      <c r="E9" s="74">
        <v>530</v>
      </c>
      <c r="F9" s="73">
        <v>170</v>
      </c>
      <c r="G9" s="74">
        <v>340</v>
      </c>
      <c r="H9" s="73">
        <f t="shared" ref="H9:H17" si="0">F9+(($H$7-$F$7)*(D9-F9)/($D$7-$F$7))</f>
        <v>262.625</v>
      </c>
      <c r="I9" s="74">
        <f t="shared" ref="I9:I17" si="1">G9+(($H$7-$F$7)*(E9-G9)/($D$7-$F$7))</f>
        <v>525.25</v>
      </c>
      <c r="J9" s="299">
        <f>IF(AND($J$7&gt;=C9,$J$7&lt;=C10),(H9+(($J$7-C9)*(H10-H9)/(C10-C9))),IF(AND($J$7&gt;=C10,$J$7&lt;=C11),(H10+(($J$7)*(H11-H10)/(C10-C9))),"error"))</f>
        <v>284.84375</v>
      </c>
      <c r="K9" s="341">
        <f>IF(AND($J$7&gt;=C9,$J$7&lt;=C10),(I9+(($J$7-C9)*(I10-I9)/(C10-C9))),IF(AND($J$7&gt;=C10,$J$7&lt;=C11),(I10+(($J$7)*(I11-I10)/(C10-C9))),"error"))</f>
        <v>569.78125</v>
      </c>
      <c r="L9" s="300">
        <f>IF($L$7=0,J9,IF(AND($L$7&gt;0,$L$7&lt;4000),(J9+($L$7*(J12-J9)/($A$12-$A$9))),IF($L$7=4000,J12,IF(AND($L$7&gt;4000,$L$7&lt;8000),(J12+(($L$7-$A$12)*(J15-J12)/($A$15-$A$12))),IF($L$7=8000,J15,"Alt error")))))</f>
        <v>284.84375</v>
      </c>
      <c r="M9" s="323">
        <f>IF($L$7=0,K9,IF(AND($L$7&gt;0,$L$7&lt;4000),(K9+($L$7*(K12-K9)/($A$12-$A$9))),IF($L$7=4000,K12,IF(AND($L$7&gt;4000,$L$7&lt;8000),(K12+(($L$7-$A$12)*(K15-K12)/($A$15-$A$12))),IF($L$7=8000,K15,"Alt error")))))</f>
        <v>569.78125</v>
      </c>
      <c r="N9" s="75"/>
      <c r="O9" s="318">
        <v>0</v>
      </c>
      <c r="P9" s="71">
        <v>-5</v>
      </c>
      <c r="Q9" s="76">
        <v>-20</v>
      </c>
      <c r="R9" s="77">
        <v>230</v>
      </c>
      <c r="S9" s="78">
        <v>510</v>
      </c>
      <c r="T9" s="78">
        <v>190</v>
      </c>
      <c r="U9" s="78">
        <v>435</v>
      </c>
      <c r="V9" s="79">
        <f t="shared" ref="V9:V17" si="2">T9+(($V$7-$T$7)*(R9-T9)/($R$7-$T$7))</f>
        <v>229</v>
      </c>
      <c r="W9" s="74">
        <f t="shared" ref="W9:W17" si="3">U9+(($H$7-$F$7)*(S9-U9)/($D$7-$F$7))</f>
        <v>508.125</v>
      </c>
      <c r="X9" s="299">
        <f>IF(AND($X$7&gt;=Q9,$X$7&lt;=Q10),(V9+(($X$7-Q9)*(V10-V9)/(Q10-Q9))),IF(AND($X$7&gt;=Q10,$X$7&lt;=Q11),(V10+(($X$7)*(V11-V10)/(Q10-Q9))),"error"))</f>
        <v>243.90625</v>
      </c>
      <c r="Y9" s="302">
        <f>IF(AND($X$7&gt;=Q9,$X$7&lt;=Q10),(W9+(($X$7-Q9)*(W10-W9)/(Q10-Q9))),IF(AND($X$7&gt;=Q10,$X$7&lt;=Q11),(W10+(($X$7)*(W11-W10)/(Q10-Q9))),"error"))</f>
        <v>534.1875</v>
      </c>
      <c r="Z9" s="305">
        <f>IF($Z$7=0,X9,IF(AND($Z$7&gt;0,$Z$7&lt;4000),(X9+($Z$7*(X12-X9)/($O$12-$O$9))),IF($Z$7=4000,X12,IF(AND($Z$7&gt;=4000,$Z$7&lt;8000),(X12+(($Z$7-$O$12)*(X15-X12)/($O$15-$O$12))),IF($Z$7=8000,X15,"Alt error")))))</f>
        <v>243.90625</v>
      </c>
      <c r="AA9" s="307">
        <f>IF($Z$7=0,Y9,IF(AND($Z$7&gt;0,$Z$7&lt;4000),(Y9+($Z$7*(Y12-Y9)/($O$12-$O$9))),IF($Z$7=4000,Y12,IF(AND($Z$7&gt;=4000,$Z$7&lt;8000),(Y12+(($Z$7-$O$12)*(Y15-Y12)/($O$15-$O$12))),IF($Z$7=8000,Y15,"Alt error")))))</f>
        <v>534.1875</v>
      </c>
      <c r="AB9" s="205"/>
      <c r="AC9" s="5"/>
      <c r="AD9" s="209" t="s">
        <v>34</v>
      </c>
      <c r="AE9" s="80">
        <f>AE11+AE12</f>
        <v>284.84375</v>
      </c>
      <c r="AF9" s="80">
        <f>AF11+AF12</f>
        <v>569.78125</v>
      </c>
      <c r="AG9" s="80">
        <f>AG11+AG12</f>
        <v>243.90625</v>
      </c>
      <c r="AH9" s="80">
        <f>AH11+AH12</f>
        <v>534.1875</v>
      </c>
      <c r="AI9" s="81" t="s">
        <v>35</v>
      </c>
    </row>
    <row r="10" spans="1:36" ht="18.75" customHeight="1" x14ac:dyDescent="0.2">
      <c r="A10" s="310"/>
      <c r="B10" s="82">
        <v>15</v>
      </c>
      <c r="C10" s="83">
        <v>0</v>
      </c>
      <c r="D10" s="84">
        <v>295</v>
      </c>
      <c r="E10" s="85">
        <v>590</v>
      </c>
      <c r="F10" s="84">
        <v>185</v>
      </c>
      <c r="G10" s="85">
        <v>375</v>
      </c>
      <c r="H10" s="84">
        <f t="shared" si="0"/>
        <v>292.25</v>
      </c>
      <c r="I10" s="85">
        <f t="shared" si="1"/>
        <v>584.625</v>
      </c>
      <c r="J10" s="300"/>
      <c r="K10" s="323"/>
      <c r="L10" s="300"/>
      <c r="M10" s="323"/>
      <c r="N10" s="75"/>
      <c r="O10" s="319"/>
      <c r="P10" s="82">
        <v>15</v>
      </c>
      <c r="Q10" s="86">
        <v>0</v>
      </c>
      <c r="R10" s="87">
        <v>250</v>
      </c>
      <c r="S10" s="88">
        <v>545</v>
      </c>
      <c r="T10" s="88">
        <v>205</v>
      </c>
      <c r="U10" s="88">
        <v>460</v>
      </c>
      <c r="V10" s="89">
        <f t="shared" si="2"/>
        <v>248.875</v>
      </c>
      <c r="W10" s="85">
        <f t="shared" si="3"/>
        <v>542.875</v>
      </c>
      <c r="X10" s="300"/>
      <c r="Y10" s="303"/>
      <c r="Z10" s="305"/>
      <c r="AA10" s="307"/>
      <c r="AB10" s="5"/>
      <c r="AC10" s="5"/>
      <c r="AD10" s="210" t="s">
        <v>36</v>
      </c>
      <c r="AE10" s="194">
        <f>IF(COUNTIF('Perfo DR460 ZY'!$C$12,"Dure"),AE9,AE9*1.15)</f>
        <v>284.84375</v>
      </c>
      <c r="AF10" s="195">
        <f>AE10+AF9-AE9</f>
        <v>569.78125</v>
      </c>
      <c r="AG10" s="194">
        <f>IF(COUNTIF('Perfo DR460 ZY'!$C$12,"Dure"),AG9,AG9*1.15)</f>
        <v>243.90625</v>
      </c>
      <c r="AH10" s="196">
        <f>AG10+AH9-AG9</f>
        <v>534.1875</v>
      </c>
      <c r="AI10" s="166" t="s">
        <v>37</v>
      </c>
      <c r="AJ10" s="155"/>
    </row>
    <row r="11" spans="1:36" ht="19.5" customHeight="1" thickBot="1" x14ac:dyDescent="0.25">
      <c r="A11" s="311"/>
      <c r="B11" s="90">
        <v>35</v>
      </c>
      <c r="C11" s="91">
        <v>20</v>
      </c>
      <c r="D11" s="92">
        <v>330</v>
      </c>
      <c r="E11" s="93">
        <v>655</v>
      </c>
      <c r="F11" s="92">
        <v>205</v>
      </c>
      <c r="G11" s="93">
        <v>415</v>
      </c>
      <c r="H11" s="92">
        <f t="shared" si="0"/>
        <v>326.875</v>
      </c>
      <c r="I11" s="93">
        <f t="shared" si="1"/>
        <v>649</v>
      </c>
      <c r="J11" s="301"/>
      <c r="K11" s="324"/>
      <c r="L11" s="300"/>
      <c r="M11" s="323"/>
      <c r="N11" s="94"/>
      <c r="O11" s="320"/>
      <c r="P11" s="90">
        <v>35</v>
      </c>
      <c r="Q11" s="95">
        <v>20</v>
      </c>
      <c r="R11" s="96">
        <v>270</v>
      </c>
      <c r="S11" s="97">
        <v>575</v>
      </c>
      <c r="T11" s="97">
        <v>215</v>
      </c>
      <c r="U11" s="97">
        <v>485</v>
      </c>
      <c r="V11" s="98">
        <f t="shared" si="2"/>
        <v>268.625</v>
      </c>
      <c r="W11" s="93">
        <f t="shared" si="3"/>
        <v>572.75</v>
      </c>
      <c r="X11" s="301"/>
      <c r="Y11" s="304"/>
      <c r="Z11" s="305"/>
      <c r="AA11" s="307"/>
      <c r="AB11" s="5"/>
      <c r="AC11" s="5" t="s">
        <v>72</v>
      </c>
      <c r="AD11" s="199"/>
      <c r="AE11" s="197">
        <f>IF('Perfo DR460 ZY'!A12="Face",IF('Perfo DR460 ZY'!B12&lt;=9,L9,IF(AND('Perfo DR460 ZY'!B12&gt;9,'Perfo DR460 ZY'!B12&lt;20),L9*0.85,IF(AND('Perfo DR460 ZY'!B12&gt;19,'Perfo DR460 ZY'!B12&lt;30),L9*0.65,IF('Perfo DR460 ZY'!B12&gt;29,L9*0.55,0)))))</f>
        <v>284.84375</v>
      </c>
      <c r="AF11" s="198">
        <f>IF('Perfo DR460 ZY'!A12="Face",IF('Perfo DR460 ZY'!B12&lt;=9,M9,IF(AND('Perfo DR460 ZY'!B12&gt;9,'Perfo DR460 ZY'!B12&lt;20),M9*0.85,IF(AND('Perfo DR460 ZY'!B12&gt;19,'Perfo DR460 ZY'!B12&lt;30),M9*0.65,IF('Perfo DR460 ZY'!B12&gt;29,M9*0.55,0)))))</f>
        <v>569.78125</v>
      </c>
      <c r="AG11" s="198">
        <f>IF('Perfo DR460 ZY'!A12="Face",IF('Perfo DR460 ZY'!B12&lt;=9,Z9,IF(AND('Perfo DR460 ZY'!B12&gt;9,'Perfo DR460 ZY'!B12&lt;20),Z9*0.85,IF(AND('Perfo DR460 ZY'!B12&gt;19,'Perfo DR460 ZY'!B12&lt;30),Z9*0.65,IF('Perfo DR460 ZY'!B12&gt;29,Z9*0.55,0)))))</f>
        <v>243.90625</v>
      </c>
      <c r="AH11" s="200">
        <f>IF('Perfo DR460 ZY'!A12="Face",IF('Perfo DR460 ZY'!B12&lt;=9,AA9,IF(AND('Perfo DR460 ZY'!B12&gt;9,'Perfo DR460 ZY'!B12&lt;20),AA9*0.85,IF(AND('Perfo DR460 ZY'!B12&gt;19,'Perfo DR460 ZY'!B12&lt;30),AA9*0.65,IF('Perfo DR460 ZY'!B12&gt;29,AA9*0.55,0)))))</f>
        <v>534.1875</v>
      </c>
      <c r="AI11" s="5"/>
      <c r="AJ11" s="155"/>
    </row>
    <row r="12" spans="1:36" ht="15" customHeight="1" x14ac:dyDescent="0.2">
      <c r="A12" s="309">
        <v>4000</v>
      </c>
      <c r="B12" s="71">
        <v>-13</v>
      </c>
      <c r="C12" s="72">
        <v>-20</v>
      </c>
      <c r="D12" s="73">
        <v>355</v>
      </c>
      <c r="E12" s="74">
        <v>710</v>
      </c>
      <c r="F12" s="73">
        <v>220</v>
      </c>
      <c r="G12" s="74">
        <v>445</v>
      </c>
      <c r="H12" s="73">
        <f t="shared" si="0"/>
        <v>351.625</v>
      </c>
      <c r="I12" s="74">
        <f t="shared" si="1"/>
        <v>703.375</v>
      </c>
      <c r="J12" s="299">
        <f>IF(AND($J$7&gt;=C12,$J$7&lt;=C13),(H12+(($J$7-C12)*(H13-H12)/(C13-C12))),IF(AND($J$7&gt;=C13,$J$7&lt;=C14),(H13+(($J$7)*(H14-H13)/(C13-C12))),"error"))</f>
        <v>385.28125</v>
      </c>
      <c r="K12" s="341">
        <f>IF(AND($J$7&gt;=C12,$J$7&lt;=C13),(I12+(($J$7-C12)*(I13-I12)/(C13-C12))),IF(AND($J$7&gt;=C13,$J$7&lt;=C14),(I13+(($J$7)*(I14-I13)/(C13-C12))),"error"))</f>
        <v>770.21875</v>
      </c>
      <c r="L12" s="300"/>
      <c r="M12" s="323"/>
      <c r="N12" s="99"/>
      <c r="O12" s="318">
        <v>4000</v>
      </c>
      <c r="P12" s="71">
        <v>-13</v>
      </c>
      <c r="Q12" s="76">
        <v>-20</v>
      </c>
      <c r="R12" s="77">
        <v>260</v>
      </c>
      <c r="S12" s="78">
        <v>565</v>
      </c>
      <c r="T12" s="78">
        <v>210</v>
      </c>
      <c r="U12" s="78">
        <v>475</v>
      </c>
      <c r="V12" s="79">
        <f t="shared" si="2"/>
        <v>258.75</v>
      </c>
      <c r="W12" s="74">
        <f t="shared" si="3"/>
        <v>562.75</v>
      </c>
      <c r="X12" s="299">
        <f>IF(AND($X$7&gt;=Q12,$X$7&lt;=Q13),(V12+(($X$7-Q12)*(V13-V12)/(Q13-Q12))),IF(AND($X$7&gt;=Q13,$X$7&lt;=Q14),(V13+(($X$7)*(V14-V13)/(Q13-Q12))),"error"))</f>
        <v>273.75</v>
      </c>
      <c r="Y12" s="302">
        <f>IF(AND($X$7&gt;=Q12,$X$7&lt;=Q13),(W12+(($X$7-Q12)*(W13-W12)/(Q13-Q12))),IF(AND($X$7&gt;=Q13,$X$7&lt;=Q14),(W13+(($X$7)*(W14-W13)/(Q13-Q12))),"error"))</f>
        <v>588.90625</v>
      </c>
      <c r="Z12" s="305"/>
      <c r="AA12" s="307"/>
      <c r="AB12" s="5"/>
      <c r="AC12" s="5" t="s">
        <v>71</v>
      </c>
      <c r="AD12" s="201" t="str">
        <f>'Perfo DR460 ZY'!A12</f>
        <v>Face</v>
      </c>
      <c r="AE12" s="5" t="b">
        <f>IF(AD12="Arrière",(1+(AD13/20))*L9)</f>
        <v>0</v>
      </c>
      <c r="AF12" s="5" t="b">
        <f>IF('Perfo DR460 ZY'!A12="Arrière",M9*(1+('Perfo DR460 ZY'!B12/20)))</f>
        <v>0</v>
      </c>
      <c r="AG12" s="5" t="b">
        <f>IF('Perfo DR460 ZY'!A12="Arrière",Z9*(1+('Perfo DR460 ZY'!B12/20)))</f>
        <v>0</v>
      </c>
      <c r="AH12" s="165" t="b">
        <f>IF('Perfo DR460 ZY'!A12="Arrière",AA9*(1+('Perfo DR460 ZY'!B12/20)))</f>
        <v>0</v>
      </c>
      <c r="AI12" s="5"/>
      <c r="AJ12" s="155"/>
    </row>
    <row r="13" spans="1:36" ht="15" customHeight="1" x14ac:dyDescent="0.2">
      <c r="A13" s="310"/>
      <c r="B13" s="82">
        <v>7</v>
      </c>
      <c r="C13" s="83">
        <v>0</v>
      </c>
      <c r="D13" s="84">
        <v>400</v>
      </c>
      <c r="E13" s="85">
        <v>800</v>
      </c>
      <c r="F13" s="84">
        <v>260</v>
      </c>
      <c r="G13" s="85">
        <v>500</v>
      </c>
      <c r="H13" s="84">
        <f t="shared" si="0"/>
        <v>396.5</v>
      </c>
      <c r="I13" s="85">
        <f t="shared" si="1"/>
        <v>792.5</v>
      </c>
      <c r="J13" s="300"/>
      <c r="K13" s="323"/>
      <c r="L13" s="300"/>
      <c r="M13" s="323"/>
      <c r="N13" s="99"/>
      <c r="O13" s="319"/>
      <c r="P13" s="82">
        <v>7</v>
      </c>
      <c r="Q13" s="86">
        <v>0</v>
      </c>
      <c r="R13" s="87">
        <v>280</v>
      </c>
      <c r="S13" s="88">
        <v>600</v>
      </c>
      <c r="T13" s="88">
        <v>230</v>
      </c>
      <c r="U13" s="88">
        <v>505</v>
      </c>
      <c r="V13" s="89">
        <f t="shared" si="2"/>
        <v>278.75</v>
      </c>
      <c r="W13" s="85">
        <f t="shared" si="3"/>
        <v>597.625</v>
      </c>
      <c r="X13" s="300"/>
      <c r="Y13" s="303"/>
      <c r="Z13" s="305"/>
      <c r="AA13" s="307"/>
      <c r="AB13" s="5"/>
      <c r="AC13" s="5"/>
      <c r="AD13" s="202">
        <f>'Perfo DR460 ZY'!B12</f>
        <v>0</v>
      </c>
      <c r="AE13" s="203"/>
      <c r="AF13" s="203"/>
      <c r="AG13" s="203"/>
      <c r="AH13" s="204"/>
      <c r="AI13" s="5"/>
      <c r="AJ13" s="155"/>
    </row>
    <row r="14" spans="1:36" ht="15.75" customHeight="1" thickBot="1" x14ac:dyDescent="0.25">
      <c r="A14" s="311"/>
      <c r="B14" s="90">
        <v>27</v>
      </c>
      <c r="C14" s="91">
        <v>20</v>
      </c>
      <c r="D14" s="92">
        <v>450</v>
      </c>
      <c r="E14" s="93">
        <v>890</v>
      </c>
      <c r="F14" s="92">
        <v>275</v>
      </c>
      <c r="G14" s="93">
        <v>550</v>
      </c>
      <c r="H14" s="92">
        <f t="shared" si="0"/>
        <v>445.625</v>
      </c>
      <c r="I14" s="93">
        <f t="shared" si="1"/>
        <v>881.5</v>
      </c>
      <c r="J14" s="301"/>
      <c r="K14" s="324"/>
      <c r="L14" s="300"/>
      <c r="M14" s="323"/>
      <c r="N14" s="99"/>
      <c r="O14" s="320"/>
      <c r="P14" s="90">
        <v>27</v>
      </c>
      <c r="Q14" s="95">
        <v>20</v>
      </c>
      <c r="R14" s="96">
        <v>300</v>
      </c>
      <c r="S14" s="97">
        <v>635</v>
      </c>
      <c r="T14" s="97">
        <v>245</v>
      </c>
      <c r="U14" s="97">
        <v>535</v>
      </c>
      <c r="V14" s="98">
        <f t="shared" si="2"/>
        <v>298.625</v>
      </c>
      <c r="W14" s="93">
        <f t="shared" si="3"/>
        <v>632.5</v>
      </c>
      <c r="X14" s="301"/>
      <c r="Y14" s="304"/>
      <c r="Z14" s="305"/>
      <c r="AA14" s="307"/>
      <c r="AB14" s="5"/>
      <c r="AC14" s="5"/>
      <c r="AD14" s="5"/>
      <c r="AE14" s="5"/>
      <c r="AF14" s="5"/>
      <c r="AG14" s="5"/>
      <c r="AH14" s="5"/>
      <c r="AI14" s="5"/>
      <c r="AJ14" s="155"/>
    </row>
    <row r="15" spans="1:36" ht="15" customHeight="1" x14ac:dyDescent="0.2">
      <c r="A15" s="309">
        <v>8000</v>
      </c>
      <c r="B15" s="71">
        <v>-21</v>
      </c>
      <c r="C15" s="72">
        <v>-20</v>
      </c>
      <c r="D15" s="73">
        <v>485</v>
      </c>
      <c r="E15" s="74">
        <v>980</v>
      </c>
      <c r="F15" s="73">
        <v>300</v>
      </c>
      <c r="G15" s="74">
        <v>605</v>
      </c>
      <c r="H15" s="73">
        <f t="shared" si="0"/>
        <v>480.375</v>
      </c>
      <c r="I15" s="74">
        <f t="shared" si="1"/>
        <v>970.625</v>
      </c>
      <c r="J15" s="299">
        <f>IF(AND($J$7&gt;=C15,$J$7&lt;=C16),(H15+(($J$7-C15)*(H16-H15)/(C16-C15))),IF(AND($J$7&gt;=C16,$J$7&lt;=C17),(H16+(($J$7)*(H17-H16)/(C16-C15))),"error"))</f>
        <v>528.65625</v>
      </c>
      <c r="K15" s="341">
        <f>IF(AND($J$7&gt;=C15,$J$7&lt;=C16),(I15+(($J$7-C15)*(I16-I15)/(C16-C15))),IF(AND($J$7&gt;=C16,$J$7&lt;=C17),(I16+(($J$7)*(I17-I16)/(C16-C15))),"error"))</f>
        <v>1063.34375</v>
      </c>
      <c r="L15" s="300"/>
      <c r="M15" s="323"/>
      <c r="N15" s="99"/>
      <c r="O15" s="318">
        <v>8000</v>
      </c>
      <c r="P15" s="71">
        <v>-21</v>
      </c>
      <c r="Q15" s="76">
        <v>-20</v>
      </c>
      <c r="R15" s="77">
        <v>295</v>
      </c>
      <c r="S15" s="78">
        <v>620</v>
      </c>
      <c r="T15" s="78">
        <v>240</v>
      </c>
      <c r="U15" s="78">
        <v>520</v>
      </c>
      <c r="V15" s="79">
        <f t="shared" si="2"/>
        <v>293.625</v>
      </c>
      <c r="W15" s="74">
        <f t="shared" si="3"/>
        <v>617.5</v>
      </c>
      <c r="X15" s="299">
        <f>IF(AND($X$7&gt;=Q15,$X$7&lt;=Q16),(V15+(($X$7-Q15)*(V16-V15)/(Q16-Q15))),IF(AND($X$7&gt;=Q16,$X$7&lt;=Q17),(V16+(($X$7)*(V17-V16)/(Q16-Q15))),"error"))</f>
        <v>312.28125</v>
      </c>
      <c r="Y15" s="302">
        <f>IF(AND($X$7&gt;=Q15,$X$7&lt;=Q16),(W15+(($X$7-Q15)*(W16-W15)/(Q16-Q15))),IF(AND($X$7&gt;=Q16,$X$7&lt;=Q17),(W16+(($X$7)*(W17-W16)/(Q16-Q15))),"error"))</f>
        <v>647.40625</v>
      </c>
      <c r="Z15" s="305"/>
      <c r="AA15" s="307"/>
      <c r="AB15" s="5"/>
      <c r="AC15" s="5"/>
      <c r="AD15" s="5"/>
      <c r="AE15" s="5"/>
      <c r="AF15" s="5"/>
      <c r="AG15" s="5"/>
      <c r="AH15" s="5"/>
      <c r="AI15" s="5"/>
      <c r="AJ15" s="155"/>
    </row>
    <row r="16" spans="1:36" ht="15" customHeight="1" x14ac:dyDescent="0.2">
      <c r="A16" s="310"/>
      <c r="B16" s="82">
        <v>-1</v>
      </c>
      <c r="C16" s="83">
        <v>0</v>
      </c>
      <c r="D16" s="84">
        <v>550</v>
      </c>
      <c r="E16" s="85">
        <v>1105</v>
      </c>
      <c r="F16" s="84">
        <v>340</v>
      </c>
      <c r="G16" s="85">
        <v>675</v>
      </c>
      <c r="H16" s="84">
        <f t="shared" si="0"/>
        <v>544.75</v>
      </c>
      <c r="I16" s="85">
        <f t="shared" si="1"/>
        <v>1094.25</v>
      </c>
      <c r="J16" s="300"/>
      <c r="K16" s="323"/>
      <c r="L16" s="300"/>
      <c r="M16" s="323"/>
      <c r="N16" s="99"/>
      <c r="O16" s="319"/>
      <c r="P16" s="82">
        <v>-1</v>
      </c>
      <c r="Q16" s="86">
        <v>0</v>
      </c>
      <c r="R16" s="87">
        <v>320</v>
      </c>
      <c r="S16" s="88">
        <v>660</v>
      </c>
      <c r="T16" s="88">
        <v>260</v>
      </c>
      <c r="U16" s="88">
        <v>555</v>
      </c>
      <c r="V16" s="89">
        <f t="shared" si="2"/>
        <v>318.5</v>
      </c>
      <c r="W16" s="85">
        <f t="shared" si="3"/>
        <v>657.375</v>
      </c>
      <c r="X16" s="300"/>
      <c r="Y16" s="303"/>
      <c r="Z16" s="305"/>
      <c r="AA16" s="307"/>
      <c r="AB16" s="5"/>
      <c r="AC16" s="5"/>
      <c r="AD16" s="5"/>
      <c r="AE16" s="5"/>
      <c r="AF16" s="5"/>
      <c r="AG16" s="5"/>
      <c r="AH16" s="5"/>
      <c r="AI16" s="5"/>
      <c r="AJ16" s="155"/>
    </row>
    <row r="17" spans="1:36" ht="15.75" customHeight="1" thickBot="1" x14ac:dyDescent="0.25">
      <c r="A17" s="325"/>
      <c r="B17" s="173">
        <v>19</v>
      </c>
      <c r="C17" s="174">
        <v>20</v>
      </c>
      <c r="D17" s="175">
        <v>620</v>
      </c>
      <c r="E17" s="176">
        <v>1250</v>
      </c>
      <c r="F17" s="175">
        <v>380</v>
      </c>
      <c r="G17" s="176">
        <v>750</v>
      </c>
      <c r="H17" s="175">
        <f t="shared" si="0"/>
        <v>614</v>
      </c>
      <c r="I17" s="176">
        <f t="shared" si="1"/>
        <v>1237.5</v>
      </c>
      <c r="J17" s="335"/>
      <c r="K17" s="336"/>
      <c r="L17" s="335"/>
      <c r="M17" s="336"/>
      <c r="N17" s="153"/>
      <c r="O17" s="337"/>
      <c r="P17" s="173">
        <v>19</v>
      </c>
      <c r="Q17" s="180">
        <v>20</v>
      </c>
      <c r="R17" s="181">
        <v>340</v>
      </c>
      <c r="S17" s="182">
        <v>700</v>
      </c>
      <c r="T17" s="182">
        <v>275</v>
      </c>
      <c r="U17" s="182">
        <v>585</v>
      </c>
      <c r="V17" s="183">
        <f t="shared" si="2"/>
        <v>338.375</v>
      </c>
      <c r="W17" s="176">
        <f t="shared" si="3"/>
        <v>697.125</v>
      </c>
      <c r="X17" s="335"/>
      <c r="Y17" s="340"/>
      <c r="Z17" s="306"/>
      <c r="AA17" s="308"/>
      <c r="AB17" s="5"/>
      <c r="AC17" s="5"/>
      <c r="AD17" s="5"/>
      <c r="AE17" s="5"/>
      <c r="AF17" s="5"/>
      <c r="AG17" s="5"/>
      <c r="AH17" s="5"/>
      <c r="AI17" s="5"/>
      <c r="AJ17" s="155"/>
    </row>
    <row r="18" spans="1:36" ht="14.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154"/>
      <c r="O18" s="154"/>
      <c r="P18" s="154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155"/>
    </row>
    <row r="19" spans="1:36" ht="13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155"/>
    </row>
    <row r="20" spans="1:36" ht="13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155"/>
    </row>
    <row r="21" spans="1:36" ht="13.5" customHeight="1" x14ac:dyDescent="0.2">
      <c r="A21" s="5"/>
      <c r="B21" s="5"/>
      <c r="C21" s="5"/>
      <c r="D21" s="5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155"/>
    </row>
    <row r="22" spans="1:36" ht="15.75" hidden="1" customHeight="1" x14ac:dyDescent="0.2">
      <c r="A22" s="5"/>
      <c r="B22" s="5"/>
      <c r="C22" s="5"/>
      <c r="D22" s="15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58" t="s">
        <v>15</v>
      </c>
      <c r="S22" s="158" t="s">
        <v>38</v>
      </c>
      <c r="T22" s="5"/>
      <c r="U22" s="159" t="s">
        <v>39</v>
      </c>
      <c r="V22" s="5"/>
      <c r="W22" s="160" t="s">
        <v>40</v>
      </c>
      <c r="X22" s="160" t="s">
        <v>41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55"/>
    </row>
    <row r="23" spans="1:36" ht="9" hidden="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55">
        <v>0</v>
      </c>
      <c r="S23" s="155">
        <v>0</v>
      </c>
      <c r="T23" s="5"/>
      <c r="U23" s="5"/>
      <c r="V23" s="5"/>
      <c r="W23" s="159" t="s">
        <v>16</v>
      </c>
      <c r="X23" s="159" t="s">
        <v>42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155"/>
    </row>
    <row r="24" spans="1:36" ht="9" hidden="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178"/>
      <c r="K24" s="5"/>
      <c r="L24" s="178"/>
      <c r="M24" s="5"/>
      <c r="N24" s="5"/>
      <c r="O24" s="5"/>
      <c r="P24" s="5"/>
      <c r="Q24" s="5"/>
      <c r="R24" s="155">
        <v>5</v>
      </c>
      <c r="S24" s="155">
        <v>2</v>
      </c>
      <c r="T24" s="5"/>
      <c r="U24" s="5"/>
      <c r="V24" s="5"/>
      <c r="W24" s="159" t="s">
        <v>43</v>
      </c>
      <c r="X24" s="159" t="s">
        <v>44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155"/>
    </row>
    <row r="25" spans="1:36" ht="9" hidden="1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55">
        <v>10</v>
      </c>
      <c r="S25" s="155">
        <v>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155"/>
    </row>
    <row r="26" spans="1:36" ht="9" hidden="1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179"/>
      <c r="K26" s="179"/>
      <c r="L26" s="5"/>
      <c r="M26" s="5"/>
      <c r="N26" s="5"/>
      <c r="O26" s="5"/>
      <c r="P26" s="5"/>
      <c r="Q26" s="5"/>
      <c r="R26" s="155">
        <v>15</v>
      </c>
      <c r="S26" s="155">
        <v>6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55"/>
    </row>
    <row r="27" spans="1:36" ht="9" hidden="1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55">
        <v>20</v>
      </c>
      <c r="S27" s="155">
        <v>8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155"/>
    </row>
    <row r="28" spans="1:36" ht="9" hidden="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55">
        <v>25</v>
      </c>
      <c r="S28" s="155">
        <v>10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155"/>
    </row>
    <row r="29" spans="1:36" ht="9" hidden="1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55">
        <v>30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155"/>
    </row>
    <row r="30" spans="1:36" ht="9" hidden="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55"/>
    </row>
    <row r="31" spans="1:36" ht="9" hidden="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59" t="s">
        <v>45</v>
      </c>
      <c r="S31" s="159" t="s">
        <v>46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155"/>
    </row>
    <row r="32" spans="1:36" ht="13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55"/>
    </row>
    <row r="33" spans="1:36" ht="13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155"/>
    </row>
    <row r="34" spans="1:36" ht="13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155"/>
    </row>
    <row r="35" spans="1:36" ht="13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155"/>
    </row>
    <row r="36" spans="1:36" ht="13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155"/>
    </row>
    <row r="37" spans="1:36" ht="13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155"/>
    </row>
    <row r="38" spans="1:36" ht="15" customHeight="1" x14ac:dyDescent="0.2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</row>
  </sheetData>
  <sheetProtection sheet="1" objects="1" scenarios="1"/>
  <mergeCells count="54">
    <mergeCell ref="A9:A11"/>
    <mergeCell ref="A12:A14"/>
    <mergeCell ref="A15:A17"/>
    <mergeCell ref="J9:J11"/>
    <mergeCell ref="J12:J14"/>
    <mergeCell ref="J15:J17"/>
    <mergeCell ref="X15:X17"/>
    <mergeCell ref="A1:E1"/>
    <mergeCell ref="Y15:Y17"/>
    <mergeCell ref="C7:C8"/>
    <mergeCell ref="D7:E7"/>
    <mergeCell ref="A7:A8"/>
    <mergeCell ref="H7:I7"/>
    <mergeCell ref="T7:U7"/>
    <mergeCell ref="V7:W7"/>
    <mergeCell ref="F7:G7"/>
    <mergeCell ref="K15:K17"/>
    <mergeCell ref="J7:K7"/>
    <mergeCell ref="K9:K11"/>
    <mergeCell ref="K12:K14"/>
    <mergeCell ref="O7:O8"/>
    <mergeCell ref="R7:S7"/>
    <mergeCell ref="B7:B8"/>
    <mergeCell ref="Z9:Z17"/>
    <mergeCell ref="AA9:AA17"/>
    <mergeCell ref="L6:M6"/>
    <mergeCell ref="L7:M7"/>
    <mergeCell ref="L9:L17"/>
    <mergeCell ref="M9:M17"/>
    <mergeCell ref="O9:O11"/>
    <mergeCell ref="O12:O14"/>
    <mergeCell ref="O15:O17"/>
    <mergeCell ref="X6:Y6"/>
    <mergeCell ref="X7:Y7"/>
    <mergeCell ref="X9:X11"/>
    <mergeCell ref="Y9:Y11"/>
    <mergeCell ref="X12:X14"/>
    <mergeCell ref="Y12:Y14"/>
    <mergeCell ref="P7:P8"/>
    <mergeCell ref="AD5:AI5"/>
    <mergeCell ref="AE7:AF7"/>
    <mergeCell ref="AG7:AH7"/>
    <mergeCell ref="A4:M4"/>
    <mergeCell ref="Z6:AA6"/>
    <mergeCell ref="Z7:AA7"/>
    <mergeCell ref="O4:AA4"/>
    <mergeCell ref="D6:E6"/>
    <mergeCell ref="F6:G6"/>
    <mergeCell ref="H6:I6"/>
    <mergeCell ref="R6:S6"/>
    <mergeCell ref="J6:K6"/>
    <mergeCell ref="T6:U6"/>
    <mergeCell ref="V6:W6"/>
    <mergeCell ref="Q7:Q8"/>
  </mergeCells>
  <conditionalFormatting sqref="AE9:AH9">
    <cfRule type="containsText" dxfId="10" priority="4" stopIfTrue="1" operator="containsText" text="Altitude">
      <formula>NOT(ISERROR(FIND(UPPER("Altitude"),UPPER(AE9))))</formula>
      <formula>"Altitude"</formula>
    </cfRule>
  </conditionalFormatting>
  <conditionalFormatting sqref="AF11:AH11">
    <cfRule type="containsText" dxfId="9" priority="1" stopIfTrue="1" operator="containsText" text="Altitude">
      <formula>NOT(ISERROR(FIND(UPPER("Altitude"),UPPER(AF11))))</formula>
      <formula>"Altitude"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showGridLines="0" workbookViewId="0">
      <selection activeCell="B6" sqref="B6"/>
    </sheetView>
  </sheetViews>
  <sheetFormatPr defaultColWidth="10.89453125" defaultRowHeight="15" customHeight="1" x14ac:dyDescent="0.2"/>
  <cols>
    <col min="1" max="1" width="20.4453125" style="1" customWidth="1"/>
    <col min="2" max="3" width="20.3125" style="1" customWidth="1"/>
    <col min="4" max="4" width="1.4765625" style="1" customWidth="1"/>
    <col min="5" max="5" width="18.29296875" style="1" customWidth="1"/>
    <col min="6" max="6" width="2.95703125" style="1" customWidth="1"/>
    <col min="7" max="9" width="19.37109375" style="1" customWidth="1"/>
    <col min="10" max="10" width="18.4296875" style="1" customWidth="1"/>
    <col min="11" max="11" width="7.26171875" style="1" customWidth="1"/>
    <col min="12" max="12" width="11.8359375" style="1" customWidth="1"/>
    <col min="13" max="13" width="10.89453125" style="1" customWidth="1"/>
    <col min="14" max="16384" width="10.89453125" style="1"/>
  </cols>
  <sheetData>
    <row r="1" spans="1:12" ht="36" customHeight="1" x14ac:dyDescent="0.5">
      <c r="A1" s="225" t="s">
        <v>61</v>
      </c>
      <c r="B1" s="226"/>
      <c r="C1" s="102"/>
      <c r="D1" s="103"/>
      <c r="E1" s="103"/>
      <c r="F1" s="227" t="s">
        <v>47</v>
      </c>
      <c r="G1" s="228"/>
      <c r="H1" s="228"/>
      <c r="I1" s="228"/>
      <c r="J1" s="228"/>
      <c r="K1" s="228"/>
      <c r="L1" s="104"/>
    </row>
    <row r="2" spans="1:12" ht="15.75" customHeight="1" thickBot="1" x14ac:dyDescent="0.25">
      <c r="A2" s="105"/>
      <c r="B2" s="5"/>
      <c r="C2" s="5"/>
      <c r="D2" s="5"/>
      <c r="E2" s="5"/>
      <c r="F2" s="5"/>
      <c r="G2" s="6"/>
      <c r="H2" s="6"/>
      <c r="I2" s="6"/>
      <c r="J2" s="6"/>
      <c r="K2" s="5"/>
      <c r="L2" s="106"/>
    </row>
    <row r="3" spans="1:12" ht="35.25" customHeight="1" x14ac:dyDescent="0.2">
      <c r="A3" s="229" t="s">
        <v>2</v>
      </c>
      <c r="B3" s="230"/>
      <c r="C3" s="230"/>
      <c r="D3" s="8"/>
      <c r="E3" s="5"/>
      <c r="F3" s="9"/>
      <c r="G3" s="231" t="s">
        <v>91</v>
      </c>
      <c r="H3" s="232"/>
      <c r="I3" s="232"/>
      <c r="J3" s="233"/>
      <c r="K3" s="107"/>
      <c r="L3" s="106"/>
    </row>
    <row r="4" spans="1:12" ht="15" customHeight="1" x14ac:dyDescent="0.2">
      <c r="A4" s="108"/>
      <c r="B4" s="13"/>
      <c r="C4" s="13"/>
      <c r="D4" s="5"/>
      <c r="E4" s="13"/>
      <c r="F4" s="9"/>
      <c r="G4" s="234"/>
      <c r="H4" s="235"/>
      <c r="I4" s="235"/>
      <c r="J4" s="236"/>
      <c r="K4" s="107"/>
      <c r="L4" s="106"/>
    </row>
    <row r="5" spans="1:12" ht="25.5" customHeight="1" x14ac:dyDescent="0.2">
      <c r="A5" s="109" t="s">
        <v>3</v>
      </c>
      <c r="B5" s="109" t="s">
        <v>4</v>
      </c>
      <c r="C5" s="110" t="s">
        <v>5</v>
      </c>
      <c r="D5" s="111"/>
      <c r="E5" s="112" t="s">
        <v>6</v>
      </c>
      <c r="F5" s="16"/>
      <c r="G5" s="234"/>
      <c r="H5" s="235"/>
      <c r="I5" s="235"/>
      <c r="J5" s="236"/>
      <c r="K5" s="107"/>
      <c r="L5" s="106"/>
    </row>
    <row r="6" spans="1:12" ht="24.75" customHeight="1" thickBot="1" x14ac:dyDescent="0.25">
      <c r="A6" s="192">
        <v>0</v>
      </c>
      <c r="B6" s="192">
        <v>1013</v>
      </c>
      <c r="C6" s="113">
        <f>((1013-B6)*(IF(A6&lt;3000,28,30))+A6)</f>
        <v>0</v>
      </c>
      <c r="D6" s="114"/>
      <c r="E6" s="192">
        <v>900</v>
      </c>
      <c r="F6" s="16"/>
      <c r="G6" s="237"/>
      <c r="H6" s="238"/>
      <c r="I6" s="238"/>
      <c r="J6" s="239"/>
      <c r="K6" s="107"/>
      <c r="L6" s="106"/>
    </row>
    <row r="7" spans="1:12" ht="28.5" customHeight="1" x14ac:dyDescent="0.2">
      <c r="A7" s="115"/>
      <c r="B7" s="26"/>
      <c r="C7" s="217" t="str">
        <f>IF(C6&gt;8000,"Dépassement altitude ! (Max=8000ft)","zp max = 8000ft)Si&lt;0 : calcul fait avec 0ft")</f>
        <v>zp max = 8000ft)Si&lt;0 : calcul fait avec 0ft</v>
      </c>
      <c r="D7" s="5"/>
      <c r="E7" s="222" t="str">
        <f>IF(E6&lt;=900,"Maxi T/O  900 kg   Maxi LND 900 Kg","Masse max dépassée")</f>
        <v>Maxi T/O  900 kg   Maxi LND 900 Kg</v>
      </c>
      <c r="F7" s="5"/>
      <c r="G7" s="116"/>
      <c r="H7" s="116"/>
      <c r="I7" s="215"/>
      <c r="J7" s="116"/>
      <c r="K7" s="5"/>
      <c r="L7" s="106"/>
    </row>
    <row r="8" spans="1:12" ht="14.1" customHeight="1" x14ac:dyDescent="0.2">
      <c r="A8" s="117" t="s">
        <v>7</v>
      </c>
      <c r="B8" s="148" t="s">
        <v>8</v>
      </c>
      <c r="C8" s="148" t="s">
        <v>67</v>
      </c>
      <c r="D8" s="15"/>
      <c r="E8" s="242" t="s">
        <v>75</v>
      </c>
      <c r="F8" s="118"/>
      <c r="G8" s="5"/>
      <c r="H8" s="214"/>
      <c r="I8" s="244" t="s">
        <v>77</v>
      </c>
      <c r="J8" s="245"/>
      <c r="K8" s="5"/>
      <c r="L8" s="106"/>
    </row>
    <row r="9" spans="1:12" ht="33" customHeight="1" thickBot="1" x14ac:dyDescent="0.25">
      <c r="A9" s="192">
        <v>10</v>
      </c>
      <c r="B9" s="149">
        <f>15+(($C$6/1000)*(-2))</f>
        <v>15</v>
      </c>
      <c r="C9" s="149">
        <f>IF(AND(A9-B9&gt;=-20,A9-B9&lt;=20),A9-B9,"ERROR")</f>
        <v>-5</v>
      </c>
      <c r="D9" s="15"/>
      <c r="E9" s="243"/>
      <c r="F9" s="118"/>
      <c r="G9" s="24"/>
      <c r="H9" s="24"/>
      <c r="I9" s="246" t="s">
        <v>76</v>
      </c>
      <c r="J9" s="247"/>
      <c r="K9" s="5"/>
      <c r="L9" s="106"/>
    </row>
    <row r="10" spans="1:12" ht="15.75" customHeight="1" x14ac:dyDescent="0.2">
      <c r="A10" s="115"/>
      <c r="B10" s="26"/>
      <c r="C10" s="26"/>
      <c r="D10" s="5"/>
      <c r="E10" s="119"/>
      <c r="F10" s="27"/>
      <c r="G10" s="240" t="s">
        <v>9</v>
      </c>
      <c r="H10" s="241"/>
      <c r="I10" s="240" t="s">
        <v>10</v>
      </c>
      <c r="J10" s="241"/>
      <c r="K10" s="120"/>
      <c r="L10" s="106"/>
    </row>
    <row r="11" spans="1:12" ht="45" customHeight="1" x14ac:dyDescent="0.2">
      <c r="A11" s="117" t="s">
        <v>48</v>
      </c>
      <c r="B11" s="117" t="s">
        <v>94</v>
      </c>
      <c r="C11" s="117" t="s">
        <v>49</v>
      </c>
      <c r="D11" s="15"/>
      <c r="E11" s="251" t="s">
        <v>11</v>
      </c>
      <c r="F11" s="29"/>
      <c r="G11" s="30" t="s">
        <v>12</v>
      </c>
      <c r="H11" s="31" t="s">
        <v>13</v>
      </c>
      <c r="I11" s="30" t="s">
        <v>12</v>
      </c>
      <c r="J11" s="31" t="s">
        <v>14</v>
      </c>
      <c r="K11" s="120"/>
      <c r="L11" s="106"/>
    </row>
    <row r="12" spans="1:12" ht="37.5" customHeight="1" x14ac:dyDescent="0.2">
      <c r="A12" s="193" t="s">
        <v>15</v>
      </c>
      <c r="B12" s="192">
        <v>0</v>
      </c>
      <c r="C12" s="193" t="s">
        <v>16</v>
      </c>
      <c r="D12" s="15"/>
      <c r="E12" s="252"/>
      <c r="F12" s="29"/>
      <c r="G12" s="32">
        <f>IFERROR('Calculs DR420'!AE10,"ALT or TEMPout of range")</f>
        <v>275</v>
      </c>
      <c r="H12" s="33">
        <f>IFERROR('Calculs DR420'!AF10,"ALT or TEMP out of range!")</f>
        <v>516.25</v>
      </c>
      <c r="I12" s="32">
        <f>IFERROR('Calculs DR420'!AG10,"ALT or TEMP out of range!")</f>
        <v>196.25</v>
      </c>
      <c r="J12" s="33">
        <f>IFERROR('Calculs DR420'!AH10,"ALT or TEMP out of range!")</f>
        <v>453.75</v>
      </c>
      <c r="K12" s="248"/>
      <c r="L12" s="249"/>
    </row>
    <row r="13" spans="1:12" ht="28.5" customHeight="1" thickBot="1" x14ac:dyDescent="0.25">
      <c r="A13" s="121"/>
      <c r="B13" s="35"/>
      <c r="C13" s="36" t="s">
        <v>17</v>
      </c>
      <c r="D13" s="5"/>
      <c r="E13" s="122"/>
      <c r="F13" s="5"/>
      <c r="G13" s="38"/>
      <c r="H13" s="39"/>
      <c r="I13" s="40"/>
      <c r="J13" s="38"/>
      <c r="K13" s="123"/>
      <c r="L13" s="106"/>
    </row>
    <row r="14" spans="1:12" ht="33.75" customHeight="1" x14ac:dyDescent="0.2">
      <c r="A14" s="224" t="s">
        <v>92</v>
      </c>
      <c r="B14" s="224"/>
      <c r="C14" s="224"/>
      <c r="D14" s="223"/>
      <c r="E14" s="223"/>
      <c r="F14" s="27"/>
      <c r="G14" s="250" t="s">
        <v>18</v>
      </c>
      <c r="H14" s="241"/>
      <c r="I14" s="250" t="s">
        <v>97</v>
      </c>
      <c r="J14" s="241"/>
      <c r="K14" s="120"/>
      <c r="L14" s="106"/>
    </row>
    <row r="15" spans="1:12" ht="41.25" customHeight="1" thickBot="1" x14ac:dyDescent="0.25">
      <c r="A15" s="224" t="s">
        <v>93</v>
      </c>
      <c r="B15" s="224"/>
      <c r="C15" s="224"/>
      <c r="D15" s="223"/>
      <c r="E15" s="223"/>
      <c r="F15" s="42"/>
      <c r="G15" s="150">
        <f>G12*1.3</f>
        <v>357.5</v>
      </c>
      <c r="H15" s="151">
        <f>H12*1.3</f>
        <v>671.125</v>
      </c>
      <c r="I15" s="150">
        <f>I12*1.3</f>
        <v>255.125</v>
      </c>
      <c r="J15" s="151">
        <f>J12*1.3</f>
        <v>589.875</v>
      </c>
      <c r="K15" s="248"/>
      <c r="L15" s="249"/>
    </row>
    <row r="16" spans="1:12" ht="30.75" customHeight="1" x14ac:dyDescent="0.2">
      <c r="A16" s="105"/>
      <c r="B16" s="5"/>
      <c r="C16" s="5"/>
      <c r="D16" s="5"/>
      <c r="E16" s="5"/>
      <c r="F16" s="5"/>
      <c r="G16" s="46"/>
      <c r="H16" s="47" t="s">
        <v>19</v>
      </c>
      <c r="I16" s="46"/>
      <c r="J16" s="47" t="s">
        <v>20</v>
      </c>
      <c r="K16" s="5"/>
      <c r="L16" s="106"/>
    </row>
    <row r="17" spans="1:12" ht="20.25" customHeight="1" x14ac:dyDescent="0.2">
      <c r="A17" s="105"/>
      <c r="B17" s="5"/>
      <c r="C17" s="48"/>
      <c r="D17" s="48"/>
      <c r="E17" s="48"/>
      <c r="F17" s="5"/>
      <c r="G17" s="48"/>
      <c r="H17" s="48"/>
      <c r="I17" s="48"/>
      <c r="J17" s="49"/>
      <c r="K17" s="48"/>
      <c r="L17" s="106"/>
    </row>
    <row r="18" spans="1:12" ht="15" customHeight="1" x14ac:dyDescent="0.2">
      <c r="A18" s="105"/>
      <c r="B18" s="5"/>
      <c r="C18" s="5"/>
      <c r="D18" s="5"/>
      <c r="E18" s="5"/>
      <c r="F18" s="5"/>
      <c r="G18" s="5"/>
      <c r="H18" s="5"/>
      <c r="I18" s="5"/>
      <c r="J18" s="5"/>
      <c r="K18" s="5"/>
      <c r="L18" s="106"/>
    </row>
    <row r="19" spans="1:12" ht="15" customHeight="1" x14ac:dyDescent="0.2">
      <c r="A19" s="124"/>
      <c r="B19" s="125"/>
      <c r="C19" s="126"/>
      <c r="D19" s="126"/>
      <c r="E19" s="126"/>
      <c r="F19" s="126"/>
      <c r="G19" s="126"/>
      <c r="H19" s="126"/>
      <c r="I19" s="126"/>
      <c r="J19" s="126"/>
      <c r="K19" s="126"/>
      <c r="L19" s="127"/>
    </row>
  </sheetData>
  <sheetProtection sheet="1" objects="1" scenarios="1" selectLockedCells="1"/>
  <mergeCells count="16">
    <mergeCell ref="A14:C14"/>
    <mergeCell ref="A15:C15"/>
    <mergeCell ref="A1:B1"/>
    <mergeCell ref="F1:K1"/>
    <mergeCell ref="A3:C3"/>
    <mergeCell ref="G3:J6"/>
    <mergeCell ref="G10:H10"/>
    <mergeCell ref="I10:J10"/>
    <mergeCell ref="E8:E9"/>
    <mergeCell ref="I8:J8"/>
    <mergeCell ref="I9:J9"/>
    <mergeCell ref="K12:L12"/>
    <mergeCell ref="K15:L15"/>
    <mergeCell ref="G14:H14"/>
    <mergeCell ref="I14:J14"/>
    <mergeCell ref="E11:E12"/>
  </mergeCells>
  <conditionalFormatting sqref="B12">
    <cfRule type="expression" dxfId="8" priority="1">
      <formula>(AND($A$12="Arrière",$B$12&gt;10))</formula>
    </cfRule>
  </conditionalFormatting>
  <conditionalFormatting sqref="C6">
    <cfRule type="cellIs" dxfId="7" priority="2" stopIfTrue="1" operator="greaterThan">
      <formula>8000</formula>
    </cfRule>
  </conditionalFormatting>
  <conditionalFormatting sqref="C7">
    <cfRule type="containsText" dxfId="6" priority="4" stopIfTrue="1" operator="containsText" text="Dépassement">
      <formula>NOT(ISERROR(FIND(UPPER("Dépassement"),UPPER(C7))))</formula>
      <formula>"Dépassement"</formula>
    </cfRule>
  </conditionalFormatting>
  <conditionalFormatting sqref="C9">
    <cfRule type="containsText" dxfId="5" priority="6" stopIfTrue="1" operator="containsText" text="error">
      <formula>NOT(ISERROR(FIND(UPPER("error"),UPPER(C9))))</formula>
      <formula>"error"</formula>
    </cfRule>
  </conditionalFormatting>
  <conditionalFormatting sqref="E6">
    <cfRule type="cellIs" dxfId="4" priority="3" stopIfTrue="1" operator="greaterThan">
      <formula>900</formula>
    </cfRule>
  </conditionalFormatting>
  <conditionalFormatting sqref="E7 E10 E13">
    <cfRule type="containsText" dxfId="3" priority="5" stopIfTrue="1" operator="containsText" text="dépassée">
      <formula>NOT(ISERROR(FIND(UPPER("dépassée"),UPPER(E7))))</formula>
      <formula>"dépassée"</formula>
    </cfRule>
  </conditionalFormatting>
  <conditionalFormatting sqref="G12:L12 K15:L15">
    <cfRule type="containsText" dxfId="2" priority="7" stopIfTrue="1" operator="containsText" text="ALT">
      <formula>NOT(ISERROR(FIND(UPPER("ALT"),UPPER(G12))))</formula>
      <formula>"ALT"</formula>
    </cfRule>
  </conditionalFormatting>
  <dataValidations count="2">
    <dataValidation type="list" allowBlank="1" showInputMessage="1" showErrorMessage="1" sqref="A12" xr:uid="{00000000-0002-0000-0400-000000000000}">
      <formula1>"Face,Arrière"</formula1>
    </dataValidation>
    <dataValidation type="list" allowBlank="1" showInputMessage="1" showErrorMessage="1" sqref="C12" xr:uid="{00000000-0002-0000-0400-000001000000}">
      <formula1>"Dure,Herbe"</formula1>
    </dataValidation>
  </dataValidations>
  <pageMargins left="0.7" right="0.7" top="0.75" bottom="0.75" header="0.3" footer="0.3"/>
  <pageSetup scale="62" orientation="landscape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8"/>
  <sheetViews>
    <sheetView showGridLines="0" workbookViewId="0">
      <selection activeCell="AH10" sqref="AH10"/>
    </sheetView>
  </sheetViews>
  <sheetFormatPr defaultColWidth="10.89453125" defaultRowHeight="15" customHeight="1" x14ac:dyDescent="0.2"/>
  <cols>
    <col min="1" max="1" width="12.375" style="1" customWidth="1"/>
    <col min="2" max="2" width="6.05078125" style="1" customWidth="1"/>
    <col min="3" max="3" width="8.875" style="1" customWidth="1"/>
    <col min="4" max="4" width="18.16015625" style="1" customWidth="1"/>
    <col min="5" max="5" width="19.7734375" style="1" customWidth="1"/>
    <col min="6" max="6" width="17.484375" style="1" customWidth="1"/>
    <col min="7" max="7" width="18.96484375" style="1" customWidth="1"/>
    <col min="8" max="8" width="17.484375" style="1" customWidth="1"/>
    <col min="9" max="9" width="20.984375" style="1" customWidth="1"/>
    <col min="10" max="10" width="18.96484375" style="1" customWidth="1"/>
    <col min="11" max="11" width="20.84765625" style="1" customWidth="1"/>
    <col min="12" max="12" width="16.94921875" style="1" customWidth="1"/>
    <col min="13" max="13" width="18.4296875" style="1" customWidth="1"/>
    <col min="14" max="14" width="6.72265625" style="1" customWidth="1"/>
    <col min="15" max="15" width="11.43359375" style="1" customWidth="1"/>
    <col min="16" max="16" width="5.37890625" style="1" customWidth="1"/>
    <col min="17" max="17" width="9.28125" style="1" customWidth="1"/>
    <col min="18" max="27" width="22.734375" style="1" customWidth="1"/>
    <col min="28" max="30" width="14.796875" style="1" customWidth="1"/>
    <col min="31" max="35" width="30.9375" style="1" customWidth="1"/>
    <col min="36" max="36" width="10.89453125" style="1" customWidth="1"/>
    <col min="37" max="16384" width="10.89453125" style="1"/>
  </cols>
  <sheetData>
    <row r="1" spans="1:35" ht="36" customHeight="1" x14ac:dyDescent="0.5">
      <c r="A1" s="359" t="s">
        <v>68</v>
      </c>
      <c r="B1" s="360"/>
      <c r="C1" s="360"/>
      <c r="D1" s="360"/>
      <c r="E1" s="360"/>
      <c r="F1" s="55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</row>
    <row r="2" spans="1:35" ht="13.5" customHeight="1" x14ac:dyDescent="0.2">
      <c r="A2" s="57"/>
      <c r="B2" s="57"/>
      <c r="C2" s="57"/>
      <c r="D2" s="57"/>
      <c r="E2" s="57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</row>
    <row r="3" spans="1:35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6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6"/>
      <c r="AE3" s="56"/>
      <c r="AF3" s="56"/>
      <c r="AG3" s="56"/>
      <c r="AH3" s="56"/>
      <c r="AI3" s="56"/>
    </row>
    <row r="4" spans="1:35" ht="18.75" customHeight="1" x14ac:dyDescent="0.2">
      <c r="A4" s="363" t="s">
        <v>22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59"/>
      <c r="O4" s="265" t="s">
        <v>23</v>
      </c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161"/>
      <c r="AC4" s="5"/>
      <c r="AD4" s="104"/>
      <c r="AE4" s="58"/>
      <c r="AF4" s="58"/>
      <c r="AG4" s="58"/>
      <c r="AH4" s="58"/>
      <c r="AI4" s="58"/>
    </row>
    <row r="5" spans="1:35" ht="15.75" customHeight="1" thickBot="1" x14ac:dyDescent="0.25">
      <c r="A5" s="57"/>
      <c r="B5" s="57"/>
      <c r="C5" s="57"/>
      <c r="D5" s="60"/>
      <c r="E5" s="60"/>
      <c r="F5" s="60"/>
      <c r="G5" s="60"/>
      <c r="H5" s="60"/>
      <c r="I5" s="60"/>
      <c r="J5" s="60"/>
      <c r="K5" s="60"/>
      <c r="L5" s="60"/>
      <c r="M5" s="60"/>
      <c r="N5" s="56"/>
      <c r="O5" s="57"/>
      <c r="P5" s="57"/>
      <c r="Q5" s="57"/>
      <c r="R5" s="60"/>
      <c r="S5" s="60"/>
      <c r="T5" s="60"/>
      <c r="U5" s="60"/>
      <c r="V5" s="60"/>
      <c r="W5" s="60"/>
      <c r="X5" s="60"/>
      <c r="Y5" s="60"/>
      <c r="Z5" s="185"/>
      <c r="AA5" s="105"/>
      <c r="AB5" s="161"/>
      <c r="AC5" s="5"/>
      <c r="AD5" s="267" t="s">
        <v>24</v>
      </c>
      <c r="AE5" s="268"/>
      <c r="AF5" s="268"/>
      <c r="AG5" s="268"/>
      <c r="AH5" s="268"/>
      <c r="AI5" s="269"/>
    </row>
    <row r="6" spans="1:35" ht="15.75" customHeight="1" thickBot="1" x14ac:dyDescent="0.25">
      <c r="A6" s="65"/>
      <c r="B6" s="62"/>
      <c r="C6" s="63"/>
      <c r="D6" s="270" t="s">
        <v>25</v>
      </c>
      <c r="E6" s="271"/>
      <c r="F6" s="270" t="s">
        <v>25</v>
      </c>
      <c r="G6" s="271"/>
      <c r="H6" s="270" t="s">
        <v>26</v>
      </c>
      <c r="I6" s="271"/>
      <c r="J6" s="272" t="s">
        <v>74</v>
      </c>
      <c r="K6" s="273"/>
      <c r="L6" s="274" t="s">
        <v>27</v>
      </c>
      <c r="M6" s="275"/>
      <c r="N6" s="64"/>
      <c r="O6" s="65"/>
      <c r="P6" s="62"/>
      <c r="Q6" s="63"/>
      <c r="R6" s="270" t="s">
        <v>25</v>
      </c>
      <c r="S6" s="271"/>
      <c r="T6" s="270" t="s">
        <v>25</v>
      </c>
      <c r="U6" s="271"/>
      <c r="V6" s="270" t="s">
        <v>26</v>
      </c>
      <c r="W6" s="271"/>
      <c r="X6" s="272" t="s">
        <v>74</v>
      </c>
      <c r="Y6" s="276"/>
      <c r="Z6" s="277" t="s">
        <v>27</v>
      </c>
      <c r="AA6" s="278"/>
      <c r="AB6" s="5"/>
      <c r="AC6" s="5"/>
      <c r="AD6" s="206"/>
      <c r="AE6" s="60"/>
      <c r="AF6" s="60"/>
      <c r="AG6" s="60"/>
      <c r="AH6" s="60"/>
      <c r="AI6" s="57"/>
    </row>
    <row r="7" spans="1:35" ht="15.75" customHeight="1" x14ac:dyDescent="0.2">
      <c r="A7" s="345" t="s">
        <v>28</v>
      </c>
      <c r="B7" s="347" t="s">
        <v>29</v>
      </c>
      <c r="C7" s="346" t="s">
        <v>79</v>
      </c>
      <c r="D7" s="285">
        <v>900</v>
      </c>
      <c r="E7" s="286"/>
      <c r="F7" s="285">
        <v>700</v>
      </c>
      <c r="G7" s="286"/>
      <c r="H7" s="287">
        <f>'Perfo DR420 DP'!$E$6</f>
        <v>900</v>
      </c>
      <c r="I7" s="288"/>
      <c r="J7" s="291">
        <f>'Perfo DR420 DP'!$C$9</f>
        <v>-5</v>
      </c>
      <c r="K7" s="292"/>
      <c r="L7" s="287">
        <f>IF('Perfo DR420 DP'!$C$6&lt;0,0,'Perfo DR420 DP'!$C$6)</f>
        <v>0</v>
      </c>
      <c r="M7" s="288"/>
      <c r="N7" s="66"/>
      <c r="O7" s="345" t="s">
        <v>28</v>
      </c>
      <c r="P7" s="347" t="s">
        <v>29</v>
      </c>
      <c r="Q7" s="346" t="s">
        <v>79</v>
      </c>
      <c r="R7" s="285">
        <v>900</v>
      </c>
      <c r="S7" s="286"/>
      <c r="T7" s="285">
        <v>700</v>
      </c>
      <c r="U7" s="286"/>
      <c r="V7" s="287">
        <f>'Perfo DR420 DP'!$E$6</f>
        <v>900</v>
      </c>
      <c r="W7" s="288"/>
      <c r="X7" s="295">
        <f>'Perfo DR420 DP'!$C$9</f>
        <v>-5</v>
      </c>
      <c r="Y7" s="296"/>
      <c r="Z7" s="361">
        <f>IF('Perfo DR420 DP'!$C$6&lt;0,0,'Perfo DR420 DP'!$C$6)</f>
        <v>0</v>
      </c>
      <c r="AA7" s="362"/>
      <c r="AB7" s="5"/>
      <c r="AC7" s="5"/>
      <c r="AD7" s="207"/>
      <c r="AE7" s="240" t="s">
        <v>30</v>
      </c>
      <c r="AF7" s="241"/>
      <c r="AG7" s="240" t="s">
        <v>31</v>
      </c>
      <c r="AH7" s="241"/>
      <c r="AI7" s="128"/>
    </row>
    <row r="8" spans="1:35" ht="45.75" customHeight="1" thickBot="1" x14ac:dyDescent="0.25">
      <c r="A8" s="294"/>
      <c r="B8" s="282"/>
      <c r="C8" s="284"/>
      <c r="D8" s="68" t="s">
        <v>12</v>
      </c>
      <c r="E8" s="69" t="s">
        <v>32</v>
      </c>
      <c r="F8" s="68" t="s">
        <v>12</v>
      </c>
      <c r="G8" s="69" t="s">
        <v>32</v>
      </c>
      <c r="H8" s="68" t="s">
        <v>12</v>
      </c>
      <c r="I8" s="69" t="s">
        <v>32</v>
      </c>
      <c r="J8" s="68" t="s">
        <v>12</v>
      </c>
      <c r="K8" s="171" t="s">
        <v>32</v>
      </c>
      <c r="L8" s="30" t="s">
        <v>12</v>
      </c>
      <c r="M8" s="31" t="s">
        <v>32</v>
      </c>
      <c r="N8" s="66"/>
      <c r="O8" s="294"/>
      <c r="P8" s="282"/>
      <c r="Q8" s="284"/>
      <c r="R8" s="68" t="s">
        <v>12</v>
      </c>
      <c r="S8" s="69" t="s">
        <v>33</v>
      </c>
      <c r="T8" s="68" t="s">
        <v>12</v>
      </c>
      <c r="U8" s="69" t="s">
        <v>33</v>
      </c>
      <c r="V8" s="68" t="s">
        <v>12</v>
      </c>
      <c r="W8" s="69" t="s">
        <v>33</v>
      </c>
      <c r="X8" s="68" t="s">
        <v>12</v>
      </c>
      <c r="Y8" s="184" t="s">
        <v>33</v>
      </c>
      <c r="Z8" s="186" t="s">
        <v>12</v>
      </c>
      <c r="AA8" s="187" t="s">
        <v>33</v>
      </c>
      <c r="AB8" s="5"/>
      <c r="AC8" s="5"/>
      <c r="AD8" s="208"/>
      <c r="AE8" s="68" t="s">
        <v>12</v>
      </c>
      <c r="AF8" s="69" t="s">
        <v>13</v>
      </c>
      <c r="AG8" s="68" t="s">
        <v>12</v>
      </c>
      <c r="AH8" s="69" t="s">
        <v>14</v>
      </c>
      <c r="AI8" s="70"/>
    </row>
    <row r="9" spans="1:35" ht="18.75" customHeight="1" x14ac:dyDescent="0.2">
      <c r="A9" s="318">
        <v>0</v>
      </c>
      <c r="B9" s="71">
        <v>-5</v>
      </c>
      <c r="C9" s="76">
        <v>-20</v>
      </c>
      <c r="D9" s="77">
        <v>245</v>
      </c>
      <c r="E9" s="129">
        <v>460</v>
      </c>
      <c r="F9" s="77">
        <v>120</v>
      </c>
      <c r="G9" s="129">
        <v>225</v>
      </c>
      <c r="H9" s="73">
        <f t="shared" ref="H9:H17" si="0">F9+(($H$7-$F$7)*(D9-F9)/($D$7-$F$7))</f>
        <v>245</v>
      </c>
      <c r="I9" s="74">
        <f t="shared" ref="I9:I17" si="1">G9+(($H$7-$F$7)*(E9-G9)/($D$7-$F$7))</f>
        <v>460</v>
      </c>
      <c r="J9" s="342">
        <f>IF(AND($J$7&gt;=C9,$J$7&lt;=C10),(H9+(($J$7-C9)*(H10-H9)/(C10-C9))),IF(AND($J$7&gt;=C10,$J$7&lt;=C11),(H10+(($J$7)*(H11-H10)/(C10-C9))),"error"))</f>
        <v>275</v>
      </c>
      <c r="K9" s="322">
        <f>IF(AND($J$7&gt;=C9,$J$7&lt;=C10),(I9+(($J$7-C9)*(I10-I9)/(C10-C9))),IF(AND($J$7&gt;=C10,$J$7&lt;=C11),(I10+(($J$7)*(I11-I10)/(C10-C9))),"error"))</f>
        <v>516.25</v>
      </c>
      <c r="L9" s="305">
        <f>IF($L$7=0,J9,IF(AND($L$7&gt;0,$L$7&lt;2500),(J9+($L$7*(J12-J9)/($A$12-$A$9))),IF($L$7=2500,J12,IF(AND($L$7&gt;2500,$L$7&lt;5000),(J12+(($L$7-$A$12)*(J15-J12)/($A$15-$A$12))),IF($L$7=5000,J15,IF(AND($L$7&gt;5000,$L$7&lt;8000),(J15+(($L$7-$A$15)*(J18-J15)/($A$18-$A$15))),IF($L$7=8000,J18,"Alt error")))))))</f>
        <v>275</v>
      </c>
      <c r="M9" s="323">
        <f>IF($L$7=0,K9,IF(AND($L$7&gt;0,$L$7&lt;2500),(K9+($L$7*(K12-K9)/($A$12-$A$9))),IF($L$7=2500,K12,IF(AND($L$7&gt;2500,$L$7&lt;5000),(K12+(($L$7-$A$12)*(K15-K12)/($A$15-$A$12))),IF($L$7=5000,K15,IF(AND($L$7&gt;5000,$L$7&lt;8000),(K15+(($L$7-$A$15)*(K18-K15)/($A$18-$A$15))),IF($L$7=8000,K18,"Alt error")))))))</f>
        <v>516.25</v>
      </c>
      <c r="N9" s="75"/>
      <c r="O9" s="318">
        <v>0</v>
      </c>
      <c r="P9" s="71">
        <v>-5</v>
      </c>
      <c r="Q9" s="76">
        <v>-20</v>
      </c>
      <c r="R9" s="77">
        <v>185</v>
      </c>
      <c r="S9" s="78">
        <v>435</v>
      </c>
      <c r="T9" s="78">
        <v>145</v>
      </c>
      <c r="U9" s="78">
        <v>365</v>
      </c>
      <c r="V9" s="79">
        <f t="shared" ref="V9:V17" si="2">T9+(($V$7-$T$7)*(R9-T9)/($R$7-$T$7))</f>
        <v>185</v>
      </c>
      <c r="W9" s="74">
        <f t="shared" ref="W9:W17" si="3">U9+(($H$7-$F$7)*(S9-U9)/($D$7-$F$7))</f>
        <v>435</v>
      </c>
      <c r="X9" s="299">
        <f>IF(AND($X$7&gt;=Q9,$J$7&lt;=Q10),(V9+(($X$7-Q9)*(V10-V9)/(Q10-Q9))),IF(AND($X$7&gt;=Q10,$X$7&lt;=Q11),(V10+(($X$7)*(V11-V10)/(Q10-Q9))),"error"))</f>
        <v>196.25</v>
      </c>
      <c r="Y9" s="348">
        <f>IF(AND($X$7&gt;=Q9,$J$7&lt;=Q10),(W9+(($X$7-Q9)*(W10-W9)/(Q10-Q9))),IF(AND($X$7&gt;=Q10,$X$7&lt;=Q11),(W10+(($X$7)*(W11-W10)/(Q10-Q9))),"error"))</f>
        <v>453.75</v>
      </c>
      <c r="Z9" s="351">
        <f>IF($Z$7=0,X9,IF(AND($Z$7&gt;0,$Z$7&lt;4000),(X9+($Z$7*(X12-X9)/($O$12-$O$9))),IF($Z$7=4000,X12,IF(AND($Z$7&gt;=4000,$Z$7&lt;8000),(X12+(($Z$7-$O$12)*(X15-X12)/($O$15-$O$12))),IF($Z$7=8000,X15,"Alt error")))))</f>
        <v>196.25</v>
      </c>
      <c r="AA9" s="354">
        <f>IF($Z$7=0,Y9,IF(AND($Z$7&gt;0,$Z$7&lt;4000),(Y9+($Z$7*(Y12-Y9)/($O$12-$O$9))),IF($Z$7=4000,Y12,IF(AND($Z$7&gt;=4000,$Z$7&lt;8000),(Y12+(($Z$7-$O$12)*(Y15-Y12)/($O$15-$O$12))),IF($Z$7=8000,Y15,"Alt error")))))</f>
        <v>453.75</v>
      </c>
      <c r="AB9" s="205"/>
      <c r="AC9" s="5"/>
      <c r="AD9" s="209" t="s">
        <v>34</v>
      </c>
      <c r="AE9" s="80">
        <f>AE11+AE12</f>
        <v>275</v>
      </c>
      <c r="AF9" s="80">
        <f>AF11+AF12</f>
        <v>516.25</v>
      </c>
      <c r="AG9" s="80">
        <f>AG11+AG12</f>
        <v>196.25</v>
      </c>
      <c r="AH9" s="80">
        <f>AH11+AH12</f>
        <v>453.75</v>
      </c>
      <c r="AI9" s="81" t="s">
        <v>35</v>
      </c>
    </row>
    <row r="10" spans="1:35" ht="18.75" customHeight="1" x14ac:dyDescent="0.2">
      <c r="A10" s="319"/>
      <c r="B10" s="82">
        <v>15</v>
      </c>
      <c r="C10" s="86">
        <v>0</v>
      </c>
      <c r="D10" s="87">
        <v>285</v>
      </c>
      <c r="E10" s="130">
        <v>535</v>
      </c>
      <c r="F10" s="87">
        <v>140</v>
      </c>
      <c r="G10" s="130">
        <v>260</v>
      </c>
      <c r="H10" s="84">
        <f t="shared" si="0"/>
        <v>285</v>
      </c>
      <c r="I10" s="85">
        <f t="shared" si="1"/>
        <v>535</v>
      </c>
      <c r="J10" s="343"/>
      <c r="K10" s="316"/>
      <c r="L10" s="305"/>
      <c r="M10" s="323"/>
      <c r="N10" s="75"/>
      <c r="O10" s="319"/>
      <c r="P10" s="82">
        <v>15</v>
      </c>
      <c r="Q10" s="86">
        <v>0</v>
      </c>
      <c r="R10" s="87">
        <v>200</v>
      </c>
      <c r="S10" s="88">
        <v>460</v>
      </c>
      <c r="T10" s="88">
        <v>155</v>
      </c>
      <c r="U10" s="88">
        <v>385</v>
      </c>
      <c r="V10" s="89">
        <f t="shared" si="2"/>
        <v>200</v>
      </c>
      <c r="W10" s="85">
        <f t="shared" si="3"/>
        <v>460</v>
      </c>
      <c r="X10" s="300"/>
      <c r="Y10" s="349"/>
      <c r="Z10" s="352"/>
      <c r="AA10" s="355"/>
      <c r="AB10" s="5"/>
      <c r="AC10" s="5"/>
      <c r="AD10" s="210" t="s">
        <v>36</v>
      </c>
      <c r="AE10" s="194">
        <f>IF(COUNTIF('Perfo DR420 DP'!$C$12,"Dure"),AE9,AE9*1.15)</f>
        <v>275</v>
      </c>
      <c r="AF10" s="195">
        <f>AE10+AF9-AE9</f>
        <v>516.25</v>
      </c>
      <c r="AG10" s="194">
        <f>IF(COUNTIF('Perfo DR420 DP'!$C$12,"Dure"),AG9,AG9*1.15)</f>
        <v>196.25</v>
      </c>
      <c r="AH10" s="196">
        <f>AG10+AH9-AG9</f>
        <v>453.75</v>
      </c>
      <c r="AI10" s="166" t="s">
        <v>37</v>
      </c>
    </row>
    <row r="11" spans="1:35" ht="19.5" customHeight="1" thickBot="1" x14ac:dyDescent="0.25">
      <c r="A11" s="320"/>
      <c r="B11" s="90">
        <v>35</v>
      </c>
      <c r="C11" s="95">
        <v>20</v>
      </c>
      <c r="D11" s="96">
        <v>325</v>
      </c>
      <c r="E11" s="131">
        <v>610</v>
      </c>
      <c r="F11" s="96">
        <v>160</v>
      </c>
      <c r="G11" s="131">
        <v>300</v>
      </c>
      <c r="H11" s="92">
        <f t="shared" si="0"/>
        <v>325</v>
      </c>
      <c r="I11" s="93">
        <f t="shared" si="1"/>
        <v>610</v>
      </c>
      <c r="J11" s="344"/>
      <c r="K11" s="317"/>
      <c r="L11" s="305"/>
      <c r="M11" s="323"/>
      <c r="N11" s="94"/>
      <c r="O11" s="320"/>
      <c r="P11" s="90">
        <v>35</v>
      </c>
      <c r="Q11" s="95">
        <v>20</v>
      </c>
      <c r="R11" s="96">
        <v>210</v>
      </c>
      <c r="S11" s="97">
        <v>485</v>
      </c>
      <c r="T11" s="97">
        <v>165</v>
      </c>
      <c r="U11" s="97">
        <v>400</v>
      </c>
      <c r="V11" s="98">
        <f t="shared" si="2"/>
        <v>210</v>
      </c>
      <c r="W11" s="93">
        <f t="shared" si="3"/>
        <v>485</v>
      </c>
      <c r="X11" s="301"/>
      <c r="Y11" s="350"/>
      <c r="Z11" s="352"/>
      <c r="AA11" s="355"/>
      <c r="AB11" s="5"/>
      <c r="AC11" s="5" t="s">
        <v>70</v>
      </c>
      <c r="AD11" s="199"/>
      <c r="AE11" s="197">
        <f>IF('Perfo DR420 DP'!A12="Face",IF('Perfo DR420 DP'!B12&lt;=9,L9,IF(AND('Perfo DR420 DP'!B12&gt;9,'Perfo DR420 DP'!B12&lt;20),L9*0.85,IF(AND('Perfo DR420 DP'!B12&gt;19,'Perfo DR420 DP'!B12&lt;30),L9*0.65,IF('Perfo DR420 DP'!B12&gt;29,L9*0.55,0)))))</f>
        <v>275</v>
      </c>
      <c r="AF11" s="198">
        <f>IF('Perfo DR420 DP'!A12="Face",IF('Perfo DR420 DP'!B12&lt;=9,M9,IF(AND('Perfo DR420 DP'!B12&gt;9,'Perfo DR420 DP'!B12&lt;20),M9*0.85,IF(AND('Perfo DR420 DP'!B12&gt;19,'Perfo DR420 DP'!B12&lt;30),M9*0.65,IF('Perfo DR420 DP'!B12&gt;29,M9*0.55,0)))))</f>
        <v>516.25</v>
      </c>
      <c r="AG11" s="198">
        <f>IF('Perfo DR420 DP'!A12="Face",IF('Perfo DR420 DP'!B12&lt;=9,Z9,IF(AND('Perfo DR420 DP'!B12&gt;9,'Perfo DR420 DP'!B12&lt;20),Z9*0.78,IF(AND('Perfo DR420 DP'!B12&gt;19,'Perfo DR420 DP'!B12&lt;30),Z9*0.63,IF('Perfo DR420 DP'!B12&gt;29,Z9*0.52,0)))))</f>
        <v>196.25</v>
      </c>
      <c r="AH11" s="200">
        <f>IF('Perfo DR420 DP'!A12="Face",IF('Perfo DR420 DP'!B12&lt;=9,AA9,IF(AND('Perfo DR420 DP'!B12&gt;9,'Perfo DR420 DP'!B12&lt;20),AA9*0.85,IF(AND('Perfo DR420 DP'!B12&gt;19,'Perfo DR420 DP'!B12&lt;30),AA9*0.65,IF('Perfo DR420 DP'!B12&gt;29,AA9*0.55,0)))))</f>
        <v>453.75</v>
      </c>
      <c r="AI11" s="5"/>
    </row>
    <row r="12" spans="1:35" ht="15" customHeight="1" x14ac:dyDescent="0.2">
      <c r="A12" s="318">
        <v>2500</v>
      </c>
      <c r="B12" s="71">
        <v>-13</v>
      </c>
      <c r="C12" s="76">
        <v>-20</v>
      </c>
      <c r="D12" s="77">
        <v>300</v>
      </c>
      <c r="E12" s="129">
        <v>560</v>
      </c>
      <c r="F12" s="77">
        <v>145</v>
      </c>
      <c r="G12" s="129">
        <v>275</v>
      </c>
      <c r="H12" s="73">
        <f t="shared" si="0"/>
        <v>300</v>
      </c>
      <c r="I12" s="74">
        <f t="shared" si="1"/>
        <v>560</v>
      </c>
      <c r="J12" s="342">
        <f>IF(AND($J$7&gt;=C12,$J$7&lt;=C13),(H12+(($J$7-C12)*(H13-H12)/(C13-C12))),IF(AND($J$7&gt;=C13,$J$7&lt;=C14),(H13+(($J$7)*(H14-H13)/(C13-C12))),"error"))</f>
        <v>337.5</v>
      </c>
      <c r="K12" s="315">
        <f>IF(AND($J$7&gt;=C12,$J$7&lt;=C13),(I12+(($J$7-C12)*(I13-I12)/(C13-C12))),IF(AND($J$7&gt;=C13,$J$7&lt;=C14),(I13+(($J$7)*(I14-I13)/(C13-C12))),"error"))</f>
        <v>631.25</v>
      </c>
      <c r="L12" s="305"/>
      <c r="M12" s="323"/>
      <c r="N12" s="99"/>
      <c r="O12" s="318">
        <v>4000</v>
      </c>
      <c r="P12" s="71">
        <v>-13</v>
      </c>
      <c r="Q12" s="76">
        <v>-20</v>
      </c>
      <c r="R12" s="77">
        <v>205</v>
      </c>
      <c r="S12" s="78">
        <v>475</v>
      </c>
      <c r="T12" s="78">
        <v>160</v>
      </c>
      <c r="U12" s="78">
        <v>395</v>
      </c>
      <c r="V12" s="79">
        <f t="shared" si="2"/>
        <v>205</v>
      </c>
      <c r="W12" s="74">
        <f t="shared" si="3"/>
        <v>475</v>
      </c>
      <c r="X12" s="299">
        <f>IF(AND($X$7&gt;=Q12,$J$7&lt;=Q13),(V12+(($X$7-Q12)*(V13-V12)/(Q13-Q12))),IF(AND($X$7&gt;=Q13,$X$7&lt;=Q14),(V13+(($X$7)*(V14-V13)/(Q13-Q12))),"error"))</f>
        <v>220</v>
      </c>
      <c r="Y12" s="348">
        <f>IF(AND($X$7&gt;=Q12,$J$7&lt;=Q13),(W12+(($X$7-Q12)*(W13-W12)/(Q13-Q12))),IF(AND($X$7&gt;=Q13,$X$7&lt;=Q14),(W13+(($X$7)*(W14-W13)/(Q13-Q12))),"error"))</f>
        <v>497.5</v>
      </c>
      <c r="Z12" s="352"/>
      <c r="AA12" s="355"/>
      <c r="AB12" s="5"/>
      <c r="AC12" s="5" t="s">
        <v>71</v>
      </c>
      <c r="AD12" s="201" t="str">
        <f>'Perfo DR420 DP'!A12</f>
        <v>Face</v>
      </c>
      <c r="AE12" s="5" t="b">
        <f>IF(AD12="Arrière",(1+(AD13/20))*L9)</f>
        <v>0</v>
      </c>
      <c r="AF12" s="5" t="b">
        <f>IF('Perfo DR420 DP'!A12="Arrière",M9*(1+('Perfo DR420 DP'!B12/20)))</f>
        <v>0</v>
      </c>
      <c r="AG12" s="5" t="b">
        <f>IF('Perfo DR420 DP'!A12="Arrière",Z9*(1+('Perfo DR420 DP'!B12/20)))</f>
        <v>0</v>
      </c>
      <c r="AH12" s="165" t="b">
        <f>IF('Perfo DR420 DP'!A12="Arrière",AA9*(1+('Perfo DR420 DP'!B12/20)))</f>
        <v>0</v>
      </c>
      <c r="AI12" s="5"/>
    </row>
    <row r="13" spans="1:35" ht="15" customHeight="1" x14ac:dyDescent="0.2">
      <c r="A13" s="319"/>
      <c r="B13" s="82">
        <v>7</v>
      </c>
      <c r="C13" s="86">
        <v>0</v>
      </c>
      <c r="D13" s="87">
        <v>350</v>
      </c>
      <c r="E13" s="130">
        <v>655</v>
      </c>
      <c r="F13" s="87">
        <v>170</v>
      </c>
      <c r="G13" s="130">
        <v>320</v>
      </c>
      <c r="H13" s="84">
        <f t="shared" si="0"/>
        <v>350</v>
      </c>
      <c r="I13" s="85">
        <f t="shared" si="1"/>
        <v>655</v>
      </c>
      <c r="J13" s="343"/>
      <c r="K13" s="316"/>
      <c r="L13" s="305"/>
      <c r="M13" s="323"/>
      <c r="N13" s="99"/>
      <c r="O13" s="319"/>
      <c r="P13" s="82">
        <v>7</v>
      </c>
      <c r="Q13" s="86">
        <v>0</v>
      </c>
      <c r="R13" s="87">
        <v>225</v>
      </c>
      <c r="S13" s="88">
        <v>505</v>
      </c>
      <c r="T13" s="88">
        <v>175</v>
      </c>
      <c r="U13" s="88">
        <v>420</v>
      </c>
      <c r="V13" s="89">
        <f t="shared" si="2"/>
        <v>225</v>
      </c>
      <c r="W13" s="85">
        <f t="shared" si="3"/>
        <v>505</v>
      </c>
      <c r="X13" s="300"/>
      <c r="Y13" s="349"/>
      <c r="Z13" s="352"/>
      <c r="AA13" s="355"/>
      <c r="AB13" s="5"/>
      <c r="AC13" s="5"/>
      <c r="AD13" s="202">
        <f>'Perfo DR420 DP'!B12</f>
        <v>0</v>
      </c>
      <c r="AE13" s="203"/>
      <c r="AF13" s="203"/>
      <c r="AG13" s="203"/>
      <c r="AH13" s="204"/>
      <c r="AI13" s="5"/>
    </row>
    <row r="14" spans="1:35" ht="15.75" customHeight="1" thickBot="1" x14ac:dyDescent="0.25">
      <c r="A14" s="320"/>
      <c r="B14" s="90">
        <v>27</v>
      </c>
      <c r="C14" s="95">
        <v>20</v>
      </c>
      <c r="D14" s="96">
        <v>405</v>
      </c>
      <c r="E14" s="131">
        <v>760</v>
      </c>
      <c r="F14" s="96">
        <v>195</v>
      </c>
      <c r="G14" s="131">
        <v>370</v>
      </c>
      <c r="H14" s="92">
        <f t="shared" si="0"/>
        <v>405</v>
      </c>
      <c r="I14" s="93">
        <f t="shared" si="1"/>
        <v>760</v>
      </c>
      <c r="J14" s="344"/>
      <c r="K14" s="317"/>
      <c r="L14" s="305"/>
      <c r="M14" s="323"/>
      <c r="N14" s="99"/>
      <c r="O14" s="320"/>
      <c r="P14" s="90">
        <v>27</v>
      </c>
      <c r="Q14" s="95">
        <v>20</v>
      </c>
      <c r="R14" s="96">
        <v>240</v>
      </c>
      <c r="S14" s="97">
        <v>535</v>
      </c>
      <c r="T14" s="97">
        <v>185</v>
      </c>
      <c r="U14" s="97">
        <v>440</v>
      </c>
      <c r="V14" s="98">
        <f t="shared" si="2"/>
        <v>240</v>
      </c>
      <c r="W14" s="93">
        <f t="shared" si="3"/>
        <v>535</v>
      </c>
      <c r="X14" s="301"/>
      <c r="Y14" s="350"/>
      <c r="Z14" s="352"/>
      <c r="AA14" s="355"/>
      <c r="AB14" s="5"/>
      <c r="AC14" s="5"/>
      <c r="AD14" s="5"/>
      <c r="AE14" s="5"/>
      <c r="AF14" s="5"/>
      <c r="AG14" s="5"/>
      <c r="AH14" s="5"/>
      <c r="AI14" s="5"/>
    </row>
    <row r="15" spans="1:35" ht="15" customHeight="1" x14ac:dyDescent="0.2">
      <c r="A15" s="318">
        <v>5000</v>
      </c>
      <c r="B15" s="71">
        <v>-21</v>
      </c>
      <c r="C15" s="76">
        <v>-20</v>
      </c>
      <c r="D15" s="77">
        <v>370</v>
      </c>
      <c r="E15" s="129">
        <v>695</v>
      </c>
      <c r="F15" s="77">
        <v>180</v>
      </c>
      <c r="G15" s="129">
        <v>340</v>
      </c>
      <c r="H15" s="73">
        <f t="shared" si="0"/>
        <v>370</v>
      </c>
      <c r="I15" s="74">
        <f t="shared" si="1"/>
        <v>695</v>
      </c>
      <c r="J15" s="342">
        <f>IF(AND($J$7&gt;=C15,$J$7&lt;=C16),(H15+(($J$7-C15)*(H16-H15)/(C16-C15))),IF(AND($J$7&gt;=C16,$J$7&lt;=C17),(H16+(($J$7)*(H17-H16)/(C16-C15))),"error"))</f>
        <v>418.75</v>
      </c>
      <c r="K15" s="315">
        <f>IF(AND($J$7&gt;=C15,$J$7&lt;=C16),(I15+(($J$7-C15)*(I16-I15)/(C16-C15))),IF(AND($J$7&gt;=C16,$J$7&lt;=C17),(I16+(($J$7)*(I17-I16)/(C16-C15))),"error"))</f>
        <v>788.75</v>
      </c>
      <c r="L15" s="305"/>
      <c r="M15" s="323"/>
      <c r="N15" s="99"/>
      <c r="O15" s="318">
        <v>8000</v>
      </c>
      <c r="P15" s="71">
        <v>-21</v>
      </c>
      <c r="Q15" s="76">
        <v>-20</v>
      </c>
      <c r="R15" s="77">
        <v>235</v>
      </c>
      <c r="S15" s="78">
        <v>525</v>
      </c>
      <c r="T15" s="78">
        <v>180</v>
      </c>
      <c r="U15" s="78">
        <v>430</v>
      </c>
      <c r="V15" s="79">
        <f t="shared" si="2"/>
        <v>235</v>
      </c>
      <c r="W15" s="74">
        <f t="shared" si="3"/>
        <v>525</v>
      </c>
      <c r="X15" s="299">
        <f>IF(AND($X$7&gt;=Q15,$J$7&lt;=Q16),(V15+(($X$7-Q15)*(V16-V15)/(Q16-Q15))),IF(AND($X$7&gt;=Q16,$X$7&lt;=Q17),(V16+(($X$7)*(V17-V16)/(Q16-Q15))),"error"))</f>
        <v>246.25</v>
      </c>
      <c r="Y15" s="348">
        <f>IF(AND($X$7&gt;=Q15,$J$7&lt;=Q16),(W15+(($X$7-Q15)*(W16-W15)/(Q16-Q15))),IF(AND($X$7&gt;=Q16,$X$7&lt;=Q17),(W16+(($X$7)*(W17-W16)/(Q16-Q15))),"error"))</f>
        <v>547.5</v>
      </c>
      <c r="Z15" s="352"/>
      <c r="AA15" s="355"/>
      <c r="AB15" s="5"/>
      <c r="AC15" s="5"/>
      <c r="AD15" s="5"/>
      <c r="AE15" s="5"/>
      <c r="AF15" s="5"/>
      <c r="AG15" s="5"/>
      <c r="AH15" s="5"/>
      <c r="AI15" s="5"/>
    </row>
    <row r="16" spans="1:35" ht="15" customHeight="1" x14ac:dyDescent="0.2">
      <c r="A16" s="319"/>
      <c r="B16" s="82">
        <v>-1</v>
      </c>
      <c r="C16" s="86">
        <v>0</v>
      </c>
      <c r="D16" s="87">
        <v>435</v>
      </c>
      <c r="E16" s="130">
        <v>820</v>
      </c>
      <c r="F16" s="87">
        <v>215</v>
      </c>
      <c r="G16" s="130">
        <v>400</v>
      </c>
      <c r="H16" s="84">
        <f t="shared" si="0"/>
        <v>435</v>
      </c>
      <c r="I16" s="85">
        <f t="shared" si="1"/>
        <v>820</v>
      </c>
      <c r="J16" s="343"/>
      <c r="K16" s="316"/>
      <c r="L16" s="305"/>
      <c r="M16" s="323"/>
      <c r="N16" s="99"/>
      <c r="O16" s="319"/>
      <c r="P16" s="82">
        <v>-1</v>
      </c>
      <c r="Q16" s="86">
        <v>0</v>
      </c>
      <c r="R16" s="87">
        <v>250</v>
      </c>
      <c r="S16" s="88">
        <v>555</v>
      </c>
      <c r="T16" s="88">
        <v>195</v>
      </c>
      <c r="U16" s="88">
        <v>460</v>
      </c>
      <c r="V16" s="89">
        <f t="shared" si="2"/>
        <v>250</v>
      </c>
      <c r="W16" s="85">
        <f t="shared" si="3"/>
        <v>555</v>
      </c>
      <c r="X16" s="300"/>
      <c r="Y16" s="349"/>
      <c r="Z16" s="352"/>
      <c r="AA16" s="355"/>
      <c r="AB16" s="5"/>
      <c r="AC16" s="5"/>
      <c r="AD16" s="5"/>
      <c r="AE16" s="5"/>
      <c r="AF16" s="5"/>
      <c r="AG16" s="5"/>
      <c r="AH16" s="5"/>
      <c r="AI16" s="5"/>
    </row>
    <row r="17" spans="1:35" ht="15.75" customHeight="1" thickBot="1" x14ac:dyDescent="0.25">
      <c r="A17" s="320"/>
      <c r="B17" s="90">
        <v>19</v>
      </c>
      <c r="C17" s="95">
        <v>20</v>
      </c>
      <c r="D17" s="96">
        <v>505</v>
      </c>
      <c r="E17" s="131">
        <v>950</v>
      </c>
      <c r="F17" s="96">
        <v>250</v>
      </c>
      <c r="G17" s="131">
        <v>465</v>
      </c>
      <c r="H17" s="92">
        <f t="shared" si="0"/>
        <v>505</v>
      </c>
      <c r="I17" s="93">
        <f t="shared" si="1"/>
        <v>950</v>
      </c>
      <c r="J17" s="344"/>
      <c r="K17" s="327"/>
      <c r="L17" s="306"/>
      <c r="M17" s="336"/>
      <c r="N17" s="153"/>
      <c r="O17" s="337"/>
      <c r="P17" s="173">
        <v>19</v>
      </c>
      <c r="Q17" s="180">
        <v>20</v>
      </c>
      <c r="R17" s="181">
        <v>270</v>
      </c>
      <c r="S17" s="182">
        <v>590</v>
      </c>
      <c r="T17" s="182">
        <v>210</v>
      </c>
      <c r="U17" s="182">
        <v>485</v>
      </c>
      <c r="V17" s="183">
        <f t="shared" si="2"/>
        <v>270</v>
      </c>
      <c r="W17" s="176">
        <f t="shared" si="3"/>
        <v>590</v>
      </c>
      <c r="X17" s="335"/>
      <c r="Y17" s="357"/>
      <c r="Z17" s="353"/>
      <c r="AA17" s="356"/>
      <c r="AB17" s="5"/>
      <c r="AC17" s="5"/>
      <c r="AD17" s="5"/>
      <c r="AE17" s="5"/>
      <c r="AF17" s="5"/>
      <c r="AG17" s="5"/>
      <c r="AH17" s="5"/>
      <c r="AI17" s="5"/>
    </row>
    <row r="18" spans="1:35" ht="14.1" customHeight="1" x14ac:dyDescent="0.2">
      <c r="A18" s="318">
        <v>8000</v>
      </c>
      <c r="B18" s="71">
        <v>-21</v>
      </c>
      <c r="C18" s="76">
        <v>-20</v>
      </c>
      <c r="D18" s="77">
        <v>490</v>
      </c>
      <c r="E18" s="129">
        <v>920</v>
      </c>
      <c r="F18" s="77">
        <v>240</v>
      </c>
      <c r="G18" s="129">
        <v>450</v>
      </c>
      <c r="H18" s="73">
        <f t="shared" ref="H18:H20" si="4">F18+(($H$7-$F$7)*(D18-F18)/($D$7-$F$7))</f>
        <v>490</v>
      </c>
      <c r="I18" s="74">
        <f t="shared" ref="I18:I20" si="5">G18+(($H$7-$F$7)*(E18-G18)/($D$7-$F$7))</f>
        <v>920</v>
      </c>
      <c r="J18" s="342">
        <f>IF(AND($J$7&gt;=C18,$J$7&lt;=C19),(H18+(($J$7-C18)*(H19-H18)/(C19-C18))),IF(AND($J$7&gt;=C19,$J$7&lt;=C20),(H19+(($J$7)*(H20-H19)/(C19-C18))),"error"))</f>
        <v>553.75</v>
      </c>
      <c r="K18" s="322">
        <f>IF(AND($J$7&gt;=C18,$J$7&lt;=C19),(I18+(($J$7-C18)*(I19-I18)/(C19-C18))),IF(AND($J$7&gt;=C19,$J$7&lt;=C20),(I19+(($J$7)*(I20-I19)/(C19-C18))),"error"))</f>
        <v>1040</v>
      </c>
      <c r="L18" s="5"/>
      <c r="M18" s="5"/>
      <c r="N18" s="154"/>
      <c r="O18" s="154"/>
      <c r="P18" s="154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3.5" customHeight="1" x14ac:dyDescent="0.2">
      <c r="A19" s="319"/>
      <c r="B19" s="82">
        <v>-1</v>
      </c>
      <c r="C19" s="86">
        <v>0</v>
      </c>
      <c r="D19" s="87">
        <v>575</v>
      </c>
      <c r="E19" s="130">
        <v>1080</v>
      </c>
      <c r="F19" s="87">
        <v>280</v>
      </c>
      <c r="G19" s="130">
        <v>525</v>
      </c>
      <c r="H19" s="84">
        <f t="shared" si="4"/>
        <v>575</v>
      </c>
      <c r="I19" s="85">
        <f t="shared" si="5"/>
        <v>1080</v>
      </c>
      <c r="J19" s="343"/>
      <c r="K19" s="31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3.5" customHeight="1" thickBot="1" x14ac:dyDescent="0.25">
      <c r="A20" s="337"/>
      <c r="B20" s="173">
        <v>19</v>
      </c>
      <c r="C20" s="180">
        <v>20</v>
      </c>
      <c r="D20" s="181">
        <v>670</v>
      </c>
      <c r="E20" s="188">
        <v>1260</v>
      </c>
      <c r="F20" s="181">
        <v>330</v>
      </c>
      <c r="G20" s="188">
        <v>620</v>
      </c>
      <c r="H20" s="175">
        <f t="shared" si="4"/>
        <v>670</v>
      </c>
      <c r="I20" s="176">
        <f t="shared" si="5"/>
        <v>1260</v>
      </c>
      <c r="J20" s="358"/>
      <c r="K20" s="327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3.5" customHeight="1" x14ac:dyDescent="0.2">
      <c r="A21" s="5"/>
      <c r="B21" s="5"/>
      <c r="C21" s="5"/>
      <c r="D21" s="5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5.75" hidden="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58" t="s">
        <v>15</v>
      </c>
      <c r="S22" s="158" t="s">
        <v>38</v>
      </c>
      <c r="T22" s="5"/>
      <c r="U22" s="159" t="s">
        <v>50</v>
      </c>
      <c r="V22" s="5"/>
      <c r="W22" s="160" t="s">
        <v>40</v>
      </c>
      <c r="X22" s="160" t="s">
        <v>41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9" hidden="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55">
        <v>0</v>
      </c>
      <c r="S23" s="155">
        <v>0</v>
      </c>
      <c r="T23" s="5"/>
      <c r="U23" s="5"/>
      <c r="V23" s="5"/>
      <c r="W23" s="159" t="s">
        <v>16</v>
      </c>
      <c r="X23" s="159" t="s">
        <v>42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9" hidden="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55">
        <v>5</v>
      </c>
      <c r="S24" s="155">
        <v>2</v>
      </c>
      <c r="T24" s="5"/>
      <c r="U24" s="5"/>
      <c r="V24" s="5"/>
      <c r="W24" s="159" t="s">
        <v>43</v>
      </c>
      <c r="X24" s="159" t="s">
        <v>44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9" hidden="1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55">
        <v>10</v>
      </c>
      <c r="S25" s="155">
        <v>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9" hidden="1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55">
        <v>15</v>
      </c>
      <c r="S26" s="155">
        <v>6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9" hidden="1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55">
        <v>20</v>
      </c>
      <c r="S27" s="155">
        <v>8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9" hidden="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55">
        <v>25</v>
      </c>
      <c r="S28" s="155">
        <v>10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9" hidden="1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55">
        <v>30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9" hidden="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9" hidden="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59" t="s">
        <v>51</v>
      </c>
      <c r="S31" s="159" t="s">
        <v>52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3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3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3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3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3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3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5" customHeight="1" x14ac:dyDescent="0.2"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</row>
  </sheetData>
  <sheetProtection sheet="1" objects="1" scenarios="1"/>
  <mergeCells count="57">
    <mergeCell ref="A18:A20"/>
    <mergeCell ref="J18:J20"/>
    <mergeCell ref="K18:K20"/>
    <mergeCell ref="A1:E1"/>
    <mergeCell ref="Z7:AA7"/>
    <mergeCell ref="V6:W6"/>
    <mergeCell ref="X6:Y6"/>
    <mergeCell ref="Z6:AA6"/>
    <mergeCell ref="C7:C8"/>
    <mergeCell ref="A4:M4"/>
    <mergeCell ref="O4:AA4"/>
    <mergeCell ref="D7:E7"/>
    <mergeCell ref="F7:G7"/>
    <mergeCell ref="H7:I7"/>
    <mergeCell ref="J7:K7"/>
    <mergeCell ref="L7:M7"/>
    <mergeCell ref="B7:B8"/>
    <mergeCell ref="P7:P8"/>
    <mergeCell ref="Y9:Y11"/>
    <mergeCell ref="Z9:Z17"/>
    <mergeCell ref="AA9:AA17"/>
    <mergeCell ref="Y12:Y14"/>
    <mergeCell ref="Y15:Y17"/>
    <mergeCell ref="A12:A14"/>
    <mergeCell ref="J12:J14"/>
    <mergeCell ref="K12:K14"/>
    <mergeCell ref="O12:O14"/>
    <mergeCell ref="X12:X14"/>
    <mergeCell ref="A15:A17"/>
    <mergeCell ref="J15:J17"/>
    <mergeCell ref="K15:K17"/>
    <mergeCell ref="O15:O17"/>
    <mergeCell ref="X15:X17"/>
    <mergeCell ref="AE7:AF7"/>
    <mergeCell ref="AG7:AH7"/>
    <mergeCell ref="A9:A11"/>
    <mergeCell ref="J9:J11"/>
    <mergeCell ref="K9:K11"/>
    <mergeCell ref="L9:L17"/>
    <mergeCell ref="M9:M17"/>
    <mergeCell ref="O9:O11"/>
    <mergeCell ref="X9:X11"/>
    <mergeCell ref="O7:O8"/>
    <mergeCell ref="Q7:Q8"/>
    <mergeCell ref="R7:S7"/>
    <mergeCell ref="T7:U7"/>
    <mergeCell ref="V7:W7"/>
    <mergeCell ref="X7:Y7"/>
    <mergeCell ref="A7:A8"/>
    <mergeCell ref="AD5:AI5"/>
    <mergeCell ref="D6:E6"/>
    <mergeCell ref="F6:G6"/>
    <mergeCell ref="H6:I6"/>
    <mergeCell ref="J6:K6"/>
    <mergeCell ref="L6:M6"/>
    <mergeCell ref="R6:S6"/>
    <mergeCell ref="T6:U6"/>
  </mergeCells>
  <conditionalFormatting sqref="AE9:AH9">
    <cfRule type="containsText" dxfId="1" priority="4" stopIfTrue="1" operator="containsText" text="Altitude">
      <formula>NOT(ISERROR(FIND(UPPER("Altitude"),UPPER(AE9))))</formula>
      <formula>"Altitude"</formula>
    </cfRule>
  </conditionalFormatting>
  <conditionalFormatting sqref="AF11:AH11">
    <cfRule type="containsText" dxfId="0" priority="1" stopIfTrue="1" operator="containsText" text="Altitude">
      <formula>NOT(ISERROR(FIND(UPPER("Altitude"),UPPER(AF11))))</formula>
      <formula>"Altitude"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1"/>
  <sheetViews>
    <sheetView showGridLines="0" workbookViewId="0">
      <selection activeCell="A34" sqref="A34"/>
    </sheetView>
  </sheetViews>
  <sheetFormatPr defaultColWidth="10.89453125" defaultRowHeight="15" customHeight="1" x14ac:dyDescent="0.2"/>
  <cols>
    <col min="1" max="1" width="179.453125" style="1" customWidth="1"/>
    <col min="2" max="15" width="10.89453125" style="1" customWidth="1"/>
    <col min="16" max="16384" width="10.89453125" style="1"/>
  </cols>
  <sheetData>
    <row r="1" spans="1:14" ht="15" customHeight="1" x14ac:dyDescent="0.2">
      <c r="A1" s="132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/>
    </row>
    <row r="2" spans="1:14" ht="15" customHeight="1" x14ac:dyDescent="0.2">
      <c r="A2" s="10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6"/>
    </row>
    <row r="3" spans="1:14" ht="15" customHeight="1" x14ac:dyDescent="0.2">
      <c r="A3" s="10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06"/>
    </row>
    <row r="4" spans="1:14" ht="15" customHeight="1" x14ac:dyDescent="0.2">
      <c r="A4" s="10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06"/>
    </row>
    <row r="5" spans="1:14" ht="15" customHeight="1" x14ac:dyDescent="0.2">
      <c r="A5" s="10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06"/>
    </row>
    <row r="6" spans="1:14" ht="15" customHeight="1" x14ac:dyDescent="0.2">
      <c r="A6" s="10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06"/>
    </row>
    <row r="7" spans="1:14" ht="15" customHeight="1" x14ac:dyDescent="0.2">
      <c r="A7" s="10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06"/>
    </row>
    <row r="8" spans="1:14" ht="15" customHeight="1" x14ac:dyDescent="0.2">
      <c r="A8" s="10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06"/>
    </row>
    <row r="9" spans="1:14" ht="15" customHeight="1" x14ac:dyDescent="0.2">
      <c r="A9" s="10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06"/>
    </row>
    <row r="10" spans="1:14" ht="15" customHeight="1" x14ac:dyDescent="0.2">
      <c r="A10" s="10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06"/>
    </row>
    <row r="11" spans="1:14" ht="15" customHeight="1" x14ac:dyDescent="0.2">
      <c r="A11" s="10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06"/>
    </row>
    <row r="12" spans="1:14" ht="15" customHeight="1" x14ac:dyDescent="0.2">
      <c r="A12" s="10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06"/>
    </row>
    <row r="13" spans="1:14" ht="15" customHeight="1" x14ac:dyDescent="0.2">
      <c r="A13" s="10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06"/>
    </row>
    <row r="14" spans="1:14" ht="15" customHeight="1" x14ac:dyDescent="0.2">
      <c r="A14" s="10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06"/>
    </row>
    <row r="15" spans="1:14" ht="15" customHeight="1" x14ac:dyDescent="0.2">
      <c r="A15" s="10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06"/>
    </row>
    <row r="16" spans="1:14" ht="15" customHeight="1" x14ac:dyDescent="0.2">
      <c r="A16" s="10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06"/>
    </row>
    <row r="17" spans="1:14" ht="15" customHeight="1" x14ac:dyDescent="0.2">
      <c r="A17" s="10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06"/>
    </row>
    <row r="18" spans="1:14" ht="15" customHeight="1" x14ac:dyDescent="0.2">
      <c r="A18" s="133" t="s">
        <v>53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106"/>
    </row>
    <row r="19" spans="1:14" ht="15" customHeight="1" x14ac:dyDescent="0.2">
      <c r="A19" s="13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06"/>
    </row>
    <row r="20" spans="1:14" ht="37.5" customHeight="1" x14ac:dyDescent="0.2">
      <c r="A20" s="218" t="s">
        <v>80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</row>
    <row r="21" spans="1:14" ht="15" customHeight="1" x14ac:dyDescent="0.2">
      <c r="A21" s="13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106"/>
    </row>
    <row r="22" spans="1:14" ht="15" customHeight="1" x14ac:dyDescent="0.2">
      <c r="A22" s="137" t="s">
        <v>54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06"/>
    </row>
    <row r="23" spans="1:14" ht="15" customHeight="1" x14ac:dyDescent="0.2">
      <c r="A23" s="219" t="s">
        <v>81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06"/>
    </row>
    <row r="24" spans="1:14" ht="15" customHeight="1" x14ac:dyDescent="0.2">
      <c r="A24" s="219" t="s">
        <v>82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06"/>
    </row>
    <row r="25" spans="1:14" ht="15" customHeight="1" x14ac:dyDescent="0.2">
      <c r="A25" s="219" t="s">
        <v>83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06"/>
    </row>
    <row r="26" spans="1:14" ht="15" customHeight="1" x14ac:dyDescent="0.2">
      <c r="A26" s="219" t="s">
        <v>84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106"/>
    </row>
    <row r="27" spans="1:14" ht="15" customHeight="1" x14ac:dyDescent="0.2">
      <c r="A27" s="219" t="s">
        <v>85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06"/>
    </row>
    <row r="28" spans="1:14" ht="15" customHeight="1" x14ac:dyDescent="0.2">
      <c r="A28" s="219" t="s">
        <v>86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06"/>
    </row>
    <row r="29" spans="1:14" ht="15" customHeight="1" x14ac:dyDescent="0.2">
      <c r="A29" s="219" t="s">
        <v>87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106"/>
    </row>
    <row r="30" spans="1:14" ht="15" customHeight="1" x14ac:dyDescent="0.2">
      <c r="A30" s="138" t="s">
        <v>55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06"/>
    </row>
    <row r="31" spans="1:14" ht="15" customHeight="1" x14ac:dyDescent="0.2">
      <c r="A31" s="219" t="s">
        <v>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06"/>
    </row>
    <row r="32" spans="1:14" ht="15" customHeight="1" x14ac:dyDescent="0.2">
      <c r="A32" s="138" t="s">
        <v>56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06"/>
    </row>
    <row r="33" spans="1:14" ht="15" customHeight="1" x14ac:dyDescent="0.2">
      <c r="A33" s="219" t="s">
        <v>89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06"/>
    </row>
    <row r="34" spans="1:14" ht="15" customHeight="1" x14ac:dyDescent="0.2">
      <c r="A34" s="219" t="s">
        <v>90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106"/>
    </row>
    <row r="35" spans="1:14" ht="15" customHeight="1" x14ac:dyDescent="0.2">
      <c r="A35" s="13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06"/>
    </row>
    <row r="36" spans="1:14" ht="15" customHeight="1" x14ac:dyDescent="0.2">
      <c r="A36" s="137" t="s">
        <v>57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06"/>
    </row>
    <row r="37" spans="1:14" ht="15" customHeight="1" x14ac:dyDescent="0.2">
      <c r="A37" s="138" t="s">
        <v>58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06"/>
    </row>
    <row r="38" spans="1:14" ht="15" customHeight="1" x14ac:dyDescent="0.2">
      <c r="A38" s="138" t="s">
        <v>59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06"/>
    </row>
    <row r="39" spans="1:14" ht="15" customHeight="1" x14ac:dyDescent="0.2">
      <c r="A39" s="138" t="s">
        <v>60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06"/>
    </row>
    <row r="40" spans="1:14" ht="15" customHeight="1" x14ac:dyDescent="0.2">
      <c r="A40" s="14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06"/>
    </row>
    <row r="41" spans="1:14" ht="15" customHeight="1" x14ac:dyDescent="0.2">
      <c r="A41" s="141" t="s">
        <v>69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Perfo DR480 NR</vt:lpstr>
      <vt:lpstr>Calculs DR480</vt:lpstr>
      <vt:lpstr>Perfo DR460 ZY</vt:lpstr>
      <vt:lpstr>Calculs DR460</vt:lpstr>
      <vt:lpstr>Perfo DR420 DP</vt:lpstr>
      <vt:lpstr>Calculs DR420</vt:lpstr>
      <vt:lpstr>Méthode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Laverne</dc:creator>
  <cp:lastModifiedBy>Bastien Glanz</cp:lastModifiedBy>
  <dcterms:created xsi:type="dcterms:W3CDTF">2024-03-03T13:15:20Z</dcterms:created>
  <dcterms:modified xsi:type="dcterms:W3CDTF">2026-07-23T06:35:37Z</dcterms:modified>
</cp:coreProperties>
</file>