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13_ncr:1_{D96C5314-0473-4560-88EE-48D6A4EAE2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erfos C172S F-HAAM" sheetId="9" r:id="rId1"/>
    <sheet name="Calculs C172S" sheetId="10" r:id="rId2"/>
    <sheet name="Perfos C182T F-HFBD" sheetId="18" r:id="rId3"/>
    <sheet name="Calculs C182T" sheetId="19" r:id="rId4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15" i="18" l="1"/>
  <c r="C6" i="9"/>
  <c r="O7" i="10"/>
  <c r="Z42" i="10"/>
  <c r="Z7" i="10"/>
  <c r="Z44" i="10"/>
  <c r="Z9" i="10"/>
  <c r="AG9" i="10"/>
  <c r="AG10" i="10"/>
  <c r="AA42" i="10"/>
  <c r="AA44" i="10"/>
  <c r="AA9" i="10"/>
  <c r="AH9" i="10"/>
  <c r="AH10" i="10"/>
  <c r="J12" i="9"/>
  <c r="J15" i="9"/>
  <c r="E7" i="18"/>
  <c r="C6" i="18"/>
  <c r="O7" i="19"/>
  <c r="M7" i="19"/>
  <c r="V9" i="19"/>
  <c r="V10" i="19"/>
  <c r="V11" i="19"/>
  <c r="V12" i="19"/>
  <c r="V13" i="19"/>
  <c r="X9" i="19"/>
  <c r="Z42" i="19"/>
  <c r="Z7" i="19"/>
  <c r="Z44" i="19"/>
  <c r="Z9" i="19"/>
  <c r="AG9" i="19"/>
  <c r="AG10" i="19"/>
  <c r="I12" i="18"/>
  <c r="I15" i="18"/>
  <c r="W9" i="19"/>
  <c r="W10" i="19"/>
  <c r="W11" i="19"/>
  <c r="W12" i="19"/>
  <c r="W13" i="19"/>
  <c r="Y9" i="19"/>
  <c r="AA42" i="19"/>
  <c r="AA44" i="19"/>
  <c r="AA9" i="19"/>
  <c r="AH9" i="19"/>
  <c r="AH10" i="19"/>
  <c r="J12" i="18"/>
  <c r="M7" i="10"/>
  <c r="V9" i="10"/>
  <c r="V10" i="10"/>
  <c r="V11" i="10"/>
  <c r="V12" i="10"/>
  <c r="V13" i="10"/>
  <c r="X9" i="10"/>
  <c r="I12" i="9"/>
  <c r="I15" i="9"/>
  <c r="W9" i="10"/>
  <c r="W10" i="10"/>
  <c r="W11" i="10"/>
  <c r="W12" i="10"/>
  <c r="W13" i="10"/>
  <c r="Y9" i="10"/>
  <c r="E7" i="9"/>
  <c r="I7" i="19"/>
  <c r="J53" i="19"/>
  <c r="J52" i="19"/>
  <c r="J51" i="19"/>
  <c r="J50" i="19"/>
  <c r="J49" i="19"/>
  <c r="J48" i="19"/>
  <c r="J47" i="19"/>
  <c r="J46" i="19"/>
  <c r="J45" i="19"/>
  <c r="J44" i="19"/>
  <c r="J43" i="19"/>
  <c r="J42" i="19"/>
  <c r="J41" i="19"/>
  <c r="J40" i="19"/>
  <c r="J39" i="19"/>
  <c r="J38" i="19"/>
  <c r="J37" i="19"/>
  <c r="J36" i="19"/>
  <c r="J35" i="19"/>
  <c r="J34" i="19"/>
  <c r="J33" i="19"/>
  <c r="J32" i="19"/>
  <c r="J31" i="19"/>
  <c r="J30" i="19"/>
  <c r="J29" i="19"/>
  <c r="J28" i="19"/>
  <c r="J27" i="19"/>
  <c r="J26" i="19"/>
  <c r="J25" i="19"/>
  <c r="J24" i="19"/>
  <c r="J23" i="19"/>
  <c r="J22" i="19"/>
  <c r="J21" i="19"/>
  <c r="J20" i="19"/>
  <c r="J19" i="19"/>
  <c r="J18" i="19"/>
  <c r="J17" i="19"/>
  <c r="J16" i="19"/>
  <c r="J15" i="19"/>
  <c r="J14" i="19"/>
  <c r="J13" i="19"/>
  <c r="J12" i="19"/>
  <c r="J11" i="19"/>
  <c r="J10" i="19"/>
  <c r="J9" i="19"/>
  <c r="I53" i="19"/>
  <c r="I52" i="19"/>
  <c r="I51" i="19"/>
  <c r="I50" i="19"/>
  <c r="I49" i="19"/>
  <c r="I48" i="19"/>
  <c r="I47" i="19"/>
  <c r="I46" i="19"/>
  <c r="I45" i="19"/>
  <c r="I44" i="19"/>
  <c r="I43" i="19"/>
  <c r="I42" i="19"/>
  <c r="I41" i="19"/>
  <c r="I40" i="19"/>
  <c r="I39" i="19"/>
  <c r="I38" i="19"/>
  <c r="I37" i="19"/>
  <c r="I36" i="19"/>
  <c r="I35" i="19"/>
  <c r="I34" i="19"/>
  <c r="I33" i="19"/>
  <c r="I32" i="19"/>
  <c r="I31" i="19"/>
  <c r="I30" i="19"/>
  <c r="I29" i="19"/>
  <c r="I28" i="19"/>
  <c r="I27" i="19"/>
  <c r="I26" i="19"/>
  <c r="I25" i="19"/>
  <c r="I24" i="19"/>
  <c r="I23" i="19"/>
  <c r="I22" i="19"/>
  <c r="I21" i="19"/>
  <c r="I20" i="19"/>
  <c r="I19" i="19"/>
  <c r="I18" i="19"/>
  <c r="I17" i="19"/>
  <c r="I16" i="19"/>
  <c r="I15" i="19"/>
  <c r="I14" i="19"/>
  <c r="I13" i="19"/>
  <c r="I12" i="19"/>
  <c r="I11" i="19"/>
  <c r="I10" i="19"/>
  <c r="V24" i="19"/>
  <c r="V25" i="19"/>
  <c r="V26" i="19"/>
  <c r="V27" i="19"/>
  <c r="V28" i="19"/>
  <c r="X24" i="19"/>
  <c r="V29" i="19"/>
  <c r="V30" i="19"/>
  <c r="V31" i="19"/>
  <c r="V32" i="19"/>
  <c r="V33" i="19"/>
  <c r="X29" i="19"/>
  <c r="V14" i="19"/>
  <c r="V15" i="19"/>
  <c r="V16" i="19"/>
  <c r="V17" i="19"/>
  <c r="V18" i="19"/>
  <c r="X14" i="19"/>
  <c r="K9" i="19"/>
  <c r="I9" i="19"/>
  <c r="K10" i="19"/>
  <c r="K11" i="19"/>
  <c r="K12" i="19"/>
  <c r="K13" i="19"/>
  <c r="M9" i="19"/>
  <c r="K24" i="19"/>
  <c r="K25" i="19"/>
  <c r="K26" i="19"/>
  <c r="K27" i="19"/>
  <c r="K28" i="19"/>
  <c r="M24" i="19"/>
  <c r="K29" i="19"/>
  <c r="K30" i="19"/>
  <c r="K31" i="19"/>
  <c r="K32" i="19"/>
  <c r="K33" i="19"/>
  <c r="M29" i="19"/>
  <c r="K14" i="19"/>
  <c r="K15" i="19"/>
  <c r="K16" i="19"/>
  <c r="K17" i="19"/>
  <c r="K18" i="19"/>
  <c r="M14" i="19"/>
  <c r="O42" i="19"/>
  <c r="O44" i="19"/>
  <c r="O9" i="19"/>
  <c r="AE9" i="19"/>
  <c r="AE10" i="19"/>
  <c r="W24" i="19"/>
  <c r="W25" i="19"/>
  <c r="W26" i="19"/>
  <c r="W27" i="19"/>
  <c r="W28" i="19"/>
  <c r="Y24" i="19"/>
  <c r="W29" i="19"/>
  <c r="W30" i="19"/>
  <c r="W31" i="19"/>
  <c r="W32" i="19"/>
  <c r="W33" i="19"/>
  <c r="Y29" i="19"/>
  <c r="W14" i="19"/>
  <c r="W15" i="19"/>
  <c r="W16" i="19"/>
  <c r="W17" i="19"/>
  <c r="W18" i="19"/>
  <c r="Y14" i="19"/>
  <c r="L9" i="19"/>
  <c r="L10" i="19"/>
  <c r="L11" i="19"/>
  <c r="L12" i="19"/>
  <c r="L13" i="19"/>
  <c r="N9" i="19"/>
  <c r="L24" i="19"/>
  <c r="L25" i="19"/>
  <c r="L26" i="19"/>
  <c r="L27" i="19"/>
  <c r="L28" i="19"/>
  <c r="N24" i="19"/>
  <c r="L29" i="19"/>
  <c r="L30" i="19"/>
  <c r="L31" i="19"/>
  <c r="L32" i="19"/>
  <c r="L33" i="19"/>
  <c r="N29" i="19"/>
  <c r="L14" i="19"/>
  <c r="L15" i="19"/>
  <c r="L16" i="19"/>
  <c r="L17" i="19"/>
  <c r="L18" i="19"/>
  <c r="N14" i="19"/>
  <c r="P42" i="19"/>
  <c r="P44" i="19"/>
  <c r="P9" i="19"/>
  <c r="AF9" i="19"/>
  <c r="I7" i="10"/>
  <c r="J53" i="10"/>
  <c r="J52" i="10"/>
  <c r="J51" i="10"/>
  <c r="J50" i="10"/>
  <c r="J49" i="10"/>
  <c r="J48" i="10"/>
  <c r="J47" i="10"/>
  <c r="J46" i="10"/>
  <c r="J45" i="10"/>
  <c r="J44" i="10"/>
  <c r="J43" i="10"/>
  <c r="J42" i="10"/>
  <c r="J41" i="10"/>
  <c r="J40" i="10"/>
  <c r="J39" i="10"/>
  <c r="J38" i="10"/>
  <c r="J37" i="10"/>
  <c r="J36" i="10"/>
  <c r="J35" i="10"/>
  <c r="J34" i="10"/>
  <c r="J33" i="10"/>
  <c r="J32" i="10"/>
  <c r="J31" i="10"/>
  <c r="J30" i="10"/>
  <c r="J29" i="10"/>
  <c r="J28" i="10"/>
  <c r="J27" i="10"/>
  <c r="J26" i="10"/>
  <c r="J25" i="10"/>
  <c r="J24" i="10"/>
  <c r="J23" i="10"/>
  <c r="J22" i="10"/>
  <c r="J21" i="10"/>
  <c r="J20" i="10"/>
  <c r="J19" i="10"/>
  <c r="J18" i="10"/>
  <c r="J17" i="10"/>
  <c r="J16" i="10"/>
  <c r="J15" i="10"/>
  <c r="J14" i="10"/>
  <c r="J13" i="10"/>
  <c r="J12" i="10"/>
  <c r="J11" i="10"/>
  <c r="J10" i="10"/>
  <c r="I53" i="10"/>
  <c r="I52" i="10"/>
  <c r="I51" i="10"/>
  <c r="I50" i="10"/>
  <c r="I49" i="10"/>
  <c r="I48" i="10"/>
  <c r="I47" i="10"/>
  <c r="I46" i="10"/>
  <c r="I45" i="10"/>
  <c r="I44" i="10"/>
  <c r="I43" i="10"/>
  <c r="I42" i="10"/>
  <c r="I41" i="10"/>
  <c r="I40" i="10"/>
  <c r="I39" i="10"/>
  <c r="I38" i="10"/>
  <c r="I37" i="10"/>
  <c r="I36" i="10"/>
  <c r="I35" i="10"/>
  <c r="I34" i="10"/>
  <c r="I33" i="10"/>
  <c r="I32" i="10"/>
  <c r="I31" i="10"/>
  <c r="I30" i="10"/>
  <c r="I29" i="10"/>
  <c r="I28" i="10"/>
  <c r="I27" i="10"/>
  <c r="I26" i="10"/>
  <c r="I25" i="10"/>
  <c r="I24" i="10"/>
  <c r="I23" i="10"/>
  <c r="I22" i="10"/>
  <c r="I21" i="10"/>
  <c r="I20" i="10"/>
  <c r="I19" i="10"/>
  <c r="I18" i="10"/>
  <c r="I17" i="10"/>
  <c r="I16" i="10"/>
  <c r="I15" i="10"/>
  <c r="I14" i="10"/>
  <c r="I13" i="10"/>
  <c r="I12" i="10"/>
  <c r="I11" i="10"/>
  <c r="I10" i="10"/>
  <c r="J9" i="10"/>
  <c r="I9" i="10"/>
  <c r="AF10" i="19"/>
  <c r="H12" i="18"/>
  <c r="G12" i="18"/>
  <c r="H15" i="18"/>
  <c r="G15" i="18"/>
  <c r="V24" i="10"/>
  <c r="V25" i="10"/>
  <c r="V26" i="10"/>
  <c r="V27" i="10"/>
  <c r="V28" i="10"/>
  <c r="X24" i="10"/>
  <c r="V29" i="10"/>
  <c r="V30" i="10"/>
  <c r="V31" i="10"/>
  <c r="V32" i="10"/>
  <c r="V33" i="10"/>
  <c r="X29" i="10"/>
  <c r="V14" i="10"/>
  <c r="V15" i="10"/>
  <c r="V16" i="10"/>
  <c r="V17" i="10"/>
  <c r="V18" i="10"/>
  <c r="X14" i="10"/>
  <c r="W24" i="10"/>
  <c r="W25" i="10"/>
  <c r="W26" i="10"/>
  <c r="W27" i="10"/>
  <c r="W28" i="10"/>
  <c r="Y24" i="10"/>
  <c r="W29" i="10"/>
  <c r="W30" i="10"/>
  <c r="W31" i="10"/>
  <c r="W32" i="10"/>
  <c r="W33" i="10"/>
  <c r="Y29" i="10"/>
  <c r="W14" i="10"/>
  <c r="W15" i="10"/>
  <c r="W16" i="10"/>
  <c r="W17" i="10"/>
  <c r="W18" i="10"/>
  <c r="Y14" i="10"/>
  <c r="K24" i="10"/>
  <c r="K25" i="10"/>
  <c r="K26" i="10"/>
  <c r="K27" i="10"/>
  <c r="K28" i="10"/>
  <c r="M24" i="10"/>
  <c r="K29" i="10"/>
  <c r="K30" i="10"/>
  <c r="K31" i="10"/>
  <c r="K32" i="10"/>
  <c r="K33" i="10"/>
  <c r="M29" i="10"/>
  <c r="K9" i="10"/>
  <c r="K10" i="10"/>
  <c r="K11" i="10"/>
  <c r="K12" i="10"/>
  <c r="K13" i="10"/>
  <c r="M9" i="10"/>
  <c r="K14" i="10"/>
  <c r="K15" i="10"/>
  <c r="K16" i="10"/>
  <c r="K17" i="10"/>
  <c r="K18" i="10"/>
  <c r="M14" i="10"/>
  <c r="O42" i="10"/>
  <c r="O44" i="10"/>
  <c r="O9" i="10"/>
  <c r="AE9" i="10"/>
  <c r="AE10" i="10"/>
  <c r="L24" i="10"/>
  <c r="L25" i="10"/>
  <c r="L26" i="10"/>
  <c r="L27" i="10"/>
  <c r="L28" i="10"/>
  <c r="N24" i="10"/>
  <c r="L29" i="10"/>
  <c r="L30" i="10"/>
  <c r="L31" i="10"/>
  <c r="L32" i="10"/>
  <c r="L33" i="10"/>
  <c r="N29" i="10"/>
  <c r="L9" i="10"/>
  <c r="L10" i="10"/>
  <c r="L11" i="10"/>
  <c r="L12" i="10"/>
  <c r="L13" i="10"/>
  <c r="N9" i="10"/>
  <c r="L14" i="10"/>
  <c r="L15" i="10"/>
  <c r="L16" i="10"/>
  <c r="L17" i="10"/>
  <c r="L18" i="10"/>
  <c r="N14" i="10"/>
  <c r="P42" i="10"/>
  <c r="P44" i="10"/>
  <c r="P9" i="10"/>
  <c r="AF9" i="10"/>
  <c r="AF10" i="10"/>
  <c r="H12" i="9"/>
  <c r="H15" i="9"/>
  <c r="G12" i="9"/>
  <c r="G15" i="9"/>
  <c r="W53" i="19"/>
  <c r="V53" i="19"/>
  <c r="L53" i="19"/>
  <c r="K53" i="19"/>
  <c r="W52" i="19"/>
  <c r="V52" i="19"/>
  <c r="L52" i="19"/>
  <c r="K52" i="19"/>
  <c r="W51" i="19"/>
  <c r="V51" i="19"/>
  <c r="L51" i="19"/>
  <c r="K51" i="19"/>
  <c r="W50" i="19"/>
  <c r="V50" i="19"/>
  <c r="L50" i="19"/>
  <c r="K50" i="19"/>
  <c r="W49" i="19"/>
  <c r="Y49" i="19"/>
  <c r="V49" i="19"/>
  <c r="X49" i="19"/>
  <c r="L49" i="19"/>
  <c r="N49" i="19"/>
  <c r="K49" i="19"/>
  <c r="M49" i="19"/>
  <c r="W48" i="19"/>
  <c r="V48" i="19"/>
  <c r="L48" i="19"/>
  <c r="K48" i="19"/>
  <c r="W47" i="19"/>
  <c r="V47" i="19"/>
  <c r="L47" i="19"/>
  <c r="K47" i="19"/>
  <c r="W46" i="19"/>
  <c r="V46" i="19"/>
  <c r="L46" i="19"/>
  <c r="K46" i="19"/>
  <c r="W45" i="19"/>
  <c r="V45" i="19"/>
  <c r="L45" i="19"/>
  <c r="K45" i="19"/>
  <c r="W44" i="19"/>
  <c r="Y44" i="19"/>
  <c r="V44" i="19"/>
  <c r="X44" i="19"/>
  <c r="L44" i="19"/>
  <c r="N44" i="19"/>
  <c r="K44" i="19"/>
  <c r="M44" i="19"/>
  <c r="W43" i="19"/>
  <c r="V43" i="19"/>
  <c r="L43" i="19"/>
  <c r="K43" i="19"/>
  <c r="W42" i="19"/>
  <c r="V42" i="19"/>
  <c r="L42" i="19"/>
  <c r="K42" i="19"/>
  <c r="W41" i="19"/>
  <c r="V41" i="19"/>
  <c r="L41" i="19"/>
  <c r="K41" i="19"/>
  <c r="W40" i="19"/>
  <c r="V40" i="19"/>
  <c r="L40" i="19"/>
  <c r="K40" i="19"/>
  <c r="W39" i="19"/>
  <c r="Y39" i="19"/>
  <c r="V39" i="19"/>
  <c r="X39" i="19"/>
  <c r="L39" i="19"/>
  <c r="N39" i="19"/>
  <c r="K39" i="19"/>
  <c r="M39" i="19"/>
  <c r="W38" i="19"/>
  <c r="V38" i="19"/>
  <c r="L38" i="19"/>
  <c r="K38" i="19"/>
  <c r="W37" i="19"/>
  <c r="V37" i="19"/>
  <c r="L37" i="19"/>
  <c r="K37" i="19"/>
  <c r="W36" i="19"/>
  <c r="V36" i="19"/>
  <c r="L36" i="19"/>
  <c r="K36" i="19"/>
  <c r="W35" i="19"/>
  <c r="V35" i="19"/>
  <c r="L35" i="19"/>
  <c r="K35" i="19"/>
  <c r="W34" i="19"/>
  <c r="Y34" i="19"/>
  <c r="V34" i="19"/>
  <c r="X34" i="19"/>
  <c r="L34" i="19"/>
  <c r="N34" i="19"/>
  <c r="K34" i="19"/>
  <c r="M34" i="19"/>
  <c r="W23" i="19"/>
  <c r="V23" i="19"/>
  <c r="L23" i="19"/>
  <c r="K23" i="19"/>
  <c r="W22" i="19"/>
  <c r="V22" i="19"/>
  <c r="L22" i="19"/>
  <c r="K22" i="19"/>
  <c r="W21" i="19"/>
  <c r="V21" i="19"/>
  <c r="L21" i="19"/>
  <c r="K21" i="19"/>
  <c r="W20" i="19"/>
  <c r="V20" i="19"/>
  <c r="L20" i="19"/>
  <c r="K20" i="19"/>
  <c r="W19" i="19"/>
  <c r="Y19" i="19"/>
  <c r="V19" i="19"/>
  <c r="X19" i="19"/>
  <c r="L19" i="19"/>
  <c r="N19" i="19"/>
  <c r="K19" i="19"/>
  <c r="M19" i="19"/>
  <c r="B9" i="18"/>
  <c r="C9" i="18"/>
  <c r="C7" i="18"/>
  <c r="W49" i="10"/>
  <c r="W50" i="10"/>
  <c r="W51" i="10"/>
  <c r="W52" i="10"/>
  <c r="W53" i="10"/>
  <c r="Y49" i="10"/>
  <c r="V49" i="10"/>
  <c r="V50" i="10"/>
  <c r="V51" i="10"/>
  <c r="V52" i="10"/>
  <c r="V53" i="10"/>
  <c r="X49" i="10"/>
  <c r="W44" i="10"/>
  <c r="W45" i="10"/>
  <c r="W46" i="10"/>
  <c r="W47" i="10"/>
  <c r="W48" i="10"/>
  <c r="Y44" i="10"/>
  <c r="V44" i="10"/>
  <c r="V45" i="10"/>
  <c r="V46" i="10"/>
  <c r="V47" i="10"/>
  <c r="V48" i="10"/>
  <c r="X44" i="10"/>
  <c r="W39" i="10"/>
  <c r="W40" i="10"/>
  <c r="W41" i="10"/>
  <c r="W42" i="10"/>
  <c r="W43" i="10"/>
  <c r="Y39" i="10"/>
  <c r="V39" i="10"/>
  <c r="V40" i="10"/>
  <c r="V41" i="10"/>
  <c r="V42" i="10"/>
  <c r="V43" i="10"/>
  <c r="X39" i="10"/>
  <c r="W34" i="10"/>
  <c r="W35" i="10"/>
  <c r="W36" i="10"/>
  <c r="W37" i="10"/>
  <c r="W38" i="10"/>
  <c r="Y34" i="10"/>
  <c r="V34" i="10"/>
  <c r="V35" i="10"/>
  <c r="V36" i="10"/>
  <c r="V37" i="10"/>
  <c r="V38" i="10"/>
  <c r="X34" i="10"/>
  <c r="W19" i="10"/>
  <c r="W20" i="10"/>
  <c r="W21" i="10"/>
  <c r="W22" i="10"/>
  <c r="W23" i="10"/>
  <c r="Y19" i="10"/>
  <c r="V19" i="10"/>
  <c r="V20" i="10"/>
  <c r="V21" i="10"/>
  <c r="V22" i="10"/>
  <c r="V23" i="10"/>
  <c r="X19" i="10"/>
  <c r="B9" i="9"/>
  <c r="C9" i="9"/>
  <c r="K19" i="10"/>
  <c r="K20" i="10"/>
  <c r="K21" i="10"/>
  <c r="K22" i="10"/>
  <c r="K23" i="10"/>
  <c r="M19" i="10"/>
  <c r="K44" i="10"/>
  <c r="K45" i="10"/>
  <c r="K46" i="10"/>
  <c r="K47" i="10"/>
  <c r="K48" i="10"/>
  <c r="M44" i="10"/>
  <c r="L49" i="10"/>
  <c r="L50" i="10"/>
  <c r="L51" i="10"/>
  <c r="L52" i="10"/>
  <c r="L53" i="10"/>
  <c r="N49" i="10"/>
  <c r="L44" i="10"/>
  <c r="L45" i="10"/>
  <c r="L46" i="10"/>
  <c r="L47" i="10"/>
  <c r="L48" i="10"/>
  <c r="N44" i="10"/>
  <c r="L39" i="10"/>
  <c r="L40" i="10"/>
  <c r="L41" i="10"/>
  <c r="L42" i="10"/>
  <c r="L43" i="10"/>
  <c r="N39" i="10"/>
  <c r="L34" i="10"/>
  <c r="L35" i="10"/>
  <c r="L36" i="10"/>
  <c r="L37" i="10"/>
  <c r="L38" i="10"/>
  <c r="N34" i="10"/>
  <c r="L19" i="10"/>
  <c r="L20" i="10"/>
  <c r="L21" i="10"/>
  <c r="L22" i="10"/>
  <c r="L23" i="10"/>
  <c r="N19" i="10"/>
  <c r="K49" i="10"/>
  <c r="K50" i="10"/>
  <c r="K51" i="10"/>
  <c r="K52" i="10"/>
  <c r="K53" i="10"/>
  <c r="M49" i="10"/>
  <c r="K39" i="10"/>
  <c r="K40" i="10"/>
  <c r="K41" i="10"/>
  <c r="K42" i="10"/>
  <c r="K43" i="10"/>
  <c r="M39" i="10"/>
  <c r="K34" i="10"/>
  <c r="K35" i="10"/>
  <c r="K36" i="10"/>
  <c r="K37" i="10"/>
  <c r="K38" i="10"/>
  <c r="M34" i="10"/>
  <c r="C7" i="9"/>
</calcChain>
</file>

<file path=xl/sharedStrings.xml><?xml version="1.0" encoding="utf-8"?>
<sst xmlns="http://schemas.openxmlformats.org/spreadsheetml/2006/main" count="178" uniqueCount="71">
  <si>
    <t>1. Renseigner les cases vertes
2. Lire les performances</t>
  </si>
  <si>
    <t>Altitude aérodrome
(ft QNH)</t>
  </si>
  <si>
    <t>QNH</t>
  </si>
  <si>
    <t>Altitude pression
(ft)</t>
  </si>
  <si>
    <t>Masse avion (kg)</t>
  </si>
  <si>
    <t>Température (°C)</t>
  </si>
  <si>
    <t>ISA (°C)</t>
  </si>
  <si>
    <r>
      <rPr>
        <b/>
        <sz val="12"/>
        <color indexed="8"/>
        <rFont val="Calibri"/>
      </rPr>
      <t xml:space="preserve">Performances </t>
    </r>
    <r>
      <rPr>
        <b/>
        <sz val="12"/>
        <color indexed="16"/>
        <rFont val="Calibri"/>
      </rPr>
      <t>brutes</t>
    </r>
    <r>
      <rPr>
        <b/>
        <sz val="12"/>
        <color indexed="8"/>
        <rFont val="Calibri"/>
      </rPr>
      <t xml:space="preserve"> de décollage</t>
    </r>
  </si>
  <si>
    <r>
      <rPr>
        <b/>
        <sz val="12"/>
        <color indexed="8"/>
        <rFont val="Calibri"/>
      </rPr>
      <t xml:space="preserve">Performances </t>
    </r>
    <r>
      <rPr>
        <b/>
        <sz val="12"/>
        <color indexed="16"/>
        <rFont val="Calibri"/>
      </rPr>
      <t>brutes</t>
    </r>
    <r>
      <rPr>
        <b/>
        <sz val="12"/>
        <color indexed="8"/>
        <rFont val="Calibri"/>
      </rPr>
      <t xml:space="preserve"> d'atterrissage</t>
    </r>
  </si>
  <si>
    <r>
      <rPr>
        <b/>
        <sz val="10"/>
        <color indexed="25"/>
        <rFont val="Calibri"/>
      </rPr>
      <t xml:space="preserve">Nb : </t>
    </r>
    <r>
      <rPr>
        <sz val="10"/>
        <color indexed="25"/>
        <rFont val="Calibri"/>
      </rPr>
      <t>les corrections pour pistes mouillées et pistes en pente ne sont pas données par le manuel de vol.</t>
    </r>
  </si>
  <si>
    <t>Distance de roulement (m)</t>
  </si>
  <si>
    <r>
      <rPr>
        <b/>
        <sz val="11"/>
        <color indexed="8"/>
        <rFont val="Calibri"/>
      </rPr>
      <t xml:space="preserve">Distance de  décollage (m)
</t>
    </r>
    <r>
      <rPr>
        <b/>
        <sz val="10"/>
        <color indexed="8"/>
        <rFont val="Calibri"/>
      </rPr>
      <t>(passage 50ft)</t>
    </r>
  </si>
  <si>
    <r>
      <rPr>
        <b/>
        <sz val="11"/>
        <color indexed="8"/>
        <rFont val="Calibri"/>
      </rPr>
      <t xml:space="preserve">Distance d'atterrissage (m)
</t>
    </r>
    <r>
      <rPr>
        <b/>
        <sz val="11"/>
        <color indexed="8"/>
        <rFont val="Calibri"/>
      </rPr>
      <t xml:space="preserve"> </t>
    </r>
    <r>
      <rPr>
        <b/>
        <sz val="10"/>
        <color indexed="8"/>
        <rFont val="Calibri"/>
      </rPr>
      <t>(passage 50ft)</t>
    </r>
  </si>
  <si>
    <t>Face</t>
  </si>
  <si>
    <t>Piste sèche</t>
  </si>
  <si>
    <r>
      <rPr>
        <b/>
        <sz val="12"/>
        <color indexed="8"/>
        <rFont val="Calibri"/>
      </rPr>
      <t xml:space="preserve">Performances de décollage
</t>
    </r>
    <r>
      <rPr>
        <b/>
        <sz val="12"/>
        <color indexed="8"/>
        <rFont val="Calibri"/>
      </rPr>
      <t>factorisées (</t>
    </r>
    <r>
      <rPr>
        <b/>
        <sz val="12"/>
        <color indexed="17"/>
        <rFont val="Calibri"/>
      </rPr>
      <t>+30%</t>
    </r>
    <r>
      <rPr>
        <b/>
        <sz val="12"/>
        <color indexed="8"/>
        <rFont val="Calibri"/>
      </rPr>
      <t>)</t>
    </r>
  </si>
  <si>
    <r>
      <rPr>
        <b/>
        <sz val="12"/>
        <color indexed="8"/>
        <rFont val="Calibri"/>
      </rPr>
      <t xml:space="preserve">Performances d'atterrissage
</t>
    </r>
    <r>
      <rPr>
        <b/>
        <sz val="12"/>
        <color indexed="8"/>
        <rFont val="Calibri"/>
      </rPr>
      <t>factorisées (</t>
    </r>
    <r>
      <rPr>
        <b/>
        <sz val="12"/>
        <color indexed="17"/>
        <rFont val="Calibri"/>
      </rPr>
      <t>+30%</t>
    </r>
    <r>
      <rPr>
        <b/>
        <sz val="12"/>
        <color indexed="8"/>
        <rFont val="Calibri"/>
      </rPr>
      <t>)</t>
    </r>
  </si>
  <si>
    <t>Comparer à TODA</t>
  </si>
  <si>
    <t>Comparer à LDA</t>
  </si>
  <si>
    <t>Performances de décollage</t>
  </si>
  <si>
    <t>Performances d'atterrissage</t>
  </si>
  <si>
    <t>Prise en compte du vent et  type de piste</t>
  </si>
  <si>
    <t>Masse (Kg)</t>
  </si>
  <si>
    <t>Masse du jour (Kg)</t>
  </si>
  <si>
    <t>Field Pressure Alt (ft)</t>
  </si>
  <si>
    <t>Altitude Pression
(ft)</t>
  </si>
  <si>
    <t>T°
(°C)</t>
  </si>
  <si>
    <t>Performances brutes de décollage</t>
  </si>
  <si>
    <t>Performances brutes d'atterrissage</t>
  </si>
  <si>
    <r>
      <rPr>
        <b/>
        <sz val="11"/>
        <color indexed="8"/>
        <rFont val="Calibri"/>
      </rPr>
      <t xml:space="preserve">Distance de  décollage (m)
</t>
    </r>
    <r>
      <rPr>
        <sz val="11"/>
        <color indexed="8"/>
        <rFont val="Calibri"/>
      </rPr>
      <t>(passage 50ft)</t>
    </r>
  </si>
  <si>
    <r>
      <rPr>
        <b/>
        <sz val="11"/>
        <color indexed="8"/>
        <rFont val="Calibri"/>
      </rPr>
      <t xml:space="preserve">Distance d'atterrissage (m)
</t>
    </r>
    <r>
      <rPr>
        <sz val="11"/>
        <color indexed="8"/>
        <rFont val="Calibri"/>
      </rPr>
      <t>(passage 50ft)</t>
    </r>
  </si>
  <si>
    <t>Vent</t>
  </si>
  <si>
    <t>Type piste</t>
  </si>
  <si>
    <r>
      <t xml:space="preserve">Sens du vent
</t>
    </r>
    <r>
      <rPr>
        <sz val="10"/>
        <color rgb="FF0070C0"/>
        <rFont val="Calibri"/>
        <family val="2"/>
      </rPr>
      <t>[menu déroulant]</t>
    </r>
  </si>
  <si>
    <r>
      <t xml:space="preserve">Type de piste
</t>
    </r>
    <r>
      <rPr>
        <sz val="10"/>
        <color rgb="FF0070C0"/>
        <rFont val="Calibri"/>
        <family val="2"/>
      </rPr>
      <t>[menu déroulant]</t>
    </r>
  </si>
  <si>
    <r>
      <rPr>
        <sz val="11"/>
        <color rgb="FF0070C0"/>
        <rFont val="Helvetica Neue"/>
      </rPr>
      <t>Δ</t>
    </r>
    <r>
      <rPr>
        <b/>
        <sz val="11"/>
        <color rgb="FF0070C0"/>
        <rFont val="Helvetica Neue"/>
      </rPr>
      <t>ISA (°C)</t>
    </r>
  </si>
  <si>
    <t xml:space="preserve">F-HAAM </t>
  </si>
  <si>
    <t>Performances   décollage   et   atterrissage   Cessna 172S</t>
  </si>
  <si>
    <t xml:space="preserve"> F-HAAM</t>
  </si>
  <si>
    <t>Calcul intermédiaire</t>
  </si>
  <si>
    <r>
      <rPr>
        <sz val="11"/>
        <color indexed="12"/>
        <rFont val="Calibri"/>
      </rPr>
      <t>Calcul intermédiaire</t>
    </r>
  </si>
  <si>
    <r>
      <rPr>
        <sz val="11"/>
        <color indexed="12"/>
        <rFont val="Calibri"/>
      </rPr>
      <t>Température du jour</t>
    </r>
  </si>
  <si>
    <t>F-HFBD</t>
  </si>
  <si>
    <t>Performances   décollage   et   atterrissage   Cessna 182T</t>
  </si>
  <si>
    <t xml:space="preserve"> F-HFBD</t>
  </si>
  <si>
    <t>Dure</t>
  </si>
  <si>
    <t>Distance de roulement (ft)</t>
  </si>
  <si>
    <r>
      <t xml:space="preserve">Distance de  décollage (ft)
</t>
    </r>
    <r>
      <rPr>
        <sz val="11"/>
        <color indexed="8"/>
        <rFont val="Calibri"/>
      </rPr>
      <t>(passage 50ft)</t>
    </r>
  </si>
  <si>
    <r>
      <t xml:space="preserve">Distance d'atterrissage (ft)
</t>
    </r>
    <r>
      <rPr>
        <sz val="11"/>
        <color indexed="8"/>
        <rFont val="Calibri"/>
      </rPr>
      <t>(passage 50ft)</t>
    </r>
  </si>
  <si>
    <r>
      <t xml:space="preserve">Distance de  décollage (m)
</t>
    </r>
    <r>
      <rPr>
        <sz val="11"/>
        <color indexed="8"/>
        <rFont val="Calibri"/>
      </rPr>
      <t>(passage 50ft)</t>
    </r>
  </si>
  <si>
    <t>-</t>
  </si>
  <si>
    <t>Décollage</t>
  </si>
  <si>
    <t>Atterrissage</t>
  </si>
  <si>
    <t>2400 RPM avant lâcher de freins, volets de capot ouverts, piste sèche et de niveau</t>
  </si>
  <si>
    <t>freinage maximum, piste sèche et de niveau.  Si att. volets 0 - Vi+10 Kts distances + 40%</t>
  </si>
  <si>
    <t>Masse 1158 Kg - volets 30° -  Vi 61 Kt</t>
  </si>
  <si>
    <t>Masse 1338 Kg - volets FULL- Vi 60 Kt</t>
  </si>
  <si>
    <t>Volets 20°</t>
  </si>
  <si>
    <t>Volets 10°</t>
  </si>
  <si>
    <t>Plein gaz avant lâcher des freins, piste sèche et de niveau. Appauvrir au dessus de 3000 ft</t>
  </si>
  <si>
    <t>freinage maximum, piste sèche et de niveau.  Si atterrissage volets 0 - Vi+9 Kts distances + 35%</t>
  </si>
  <si>
    <r>
      <rPr>
        <sz val="10"/>
        <color rgb="FFFF0000"/>
        <rFont val="Calibri"/>
        <family val="2"/>
      </rPr>
      <t xml:space="preserve">Attention, </t>
    </r>
    <r>
      <rPr>
        <sz val="10"/>
        <color indexed="16"/>
        <rFont val="Calibri"/>
        <family val="2"/>
      </rPr>
      <t>ce fichier n'est pas fourni par le constructeur</t>
    </r>
    <r>
      <rPr>
        <sz val="10"/>
        <color indexed="8"/>
        <rFont val="Calibri"/>
        <family val="2"/>
      </rPr>
      <t xml:space="preserve">. Il ne doit pas être le seul outil de préparation des performances de votre vol.
</t>
    </r>
    <r>
      <rPr>
        <u/>
        <sz val="10"/>
        <color indexed="8"/>
        <rFont val="Calibri"/>
        <family val="2"/>
      </rPr>
      <t>Référez-vous au manuel de vol de l'avion afin de vérifier systématiquement les performances calculées.</t>
    </r>
  </si>
  <si>
    <t>Pour un décollage volets UP ou 10° augmenter ces valeurs de 25% environ</t>
  </si>
  <si>
    <t>Pour un décollage volets UP augmenter ces valeurs de 11% environ</t>
  </si>
  <si>
    <t xml:space="preserve">Performances brutes = celles données par le manuel de vol. Elles correspondent à un avion neuf et réalisées par un pilote d'essai dans des conditions différentes de notre utilisation normale.
</t>
  </si>
  <si>
    <r>
      <rPr>
        <sz val="8"/>
        <color rgb="FFFF0000"/>
        <rFont val="Calibri"/>
        <family val="2"/>
      </rPr>
      <t>Prendre connaissance du Manuel de Vol</t>
    </r>
    <r>
      <rPr>
        <sz val="8"/>
        <color indexed="8"/>
        <rFont val="Calibri"/>
        <family val="2"/>
      </rPr>
      <t>: Normal Procedures / Amplified Normal Procedures / Take Off / Wing Flap Setting</t>
    </r>
  </si>
  <si>
    <r>
      <rPr>
        <sz val="8"/>
        <color rgb="FFFF0000"/>
        <rFont val="Calibri"/>
        <family val="2"/>
      </rPr>
      <t>Prendre connaissance du Manuel de Vol</t>
    </r>
    <r>
      <rPr>
        <sz val="8"/>
        <color indexed="8"/>
        <rFont val="Calibri"/>
        <family val="2"/>
      </rPr>
      <t>: Normal Procedures / Amplified Procedures / Take Off / Wing Flap Setting</t>
    </r>
  </si>
  <si>
    <t>Il est conseillé de factoriser ces valeurs pour plus de sécurité.  Au pilote de décider. Le tableau ci-contre majore les distances de 30% au décollage et de 30% sur le roulage à l'atterrissage.</t>
  </si>
  <si>
    <t>Performances brutes = celles données par le manuel de vol. Elles correspondent à un avion neuf et réalisées par un pilote d'essai dans des conditions différentes de notre utilisation normale.</t>
  </si>
  <si>
    <t xml:space="preserve"> Il est conseillé de factoriser ces valeurs pour plus de sécurité.  Au pilote de décider. Le tableau ci-contre majore les distances de 30% au décollage et de 30% sur le roulage à l'atterrissage.</t>
  </si>
  <si>
    <r>
      <t xml:space="preserve">Vitesse du vent (kt)
</t>
    </r>
    <r>
      <rPr>
        <b/>
        <sz val="8"/>
        <color rgb="FF0070C0"/>
        <rFont val="Calibri"/>
        <family val="2"/>
      </rPr>
      <t>Composante face ou arrière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</si>
</sst>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>
    <font>
      <sz val="11"/>
      <color indexed="8"/>
      <name val="Calibri"/>
    </font>
    <font>
      <sz val="14"/>
      <color indexed="8"/>
      <name val="Calibri"/>
    </font>
    <font>
      <b/>
      <sz val="28"/>
      <color indexed="12"/>
      <name val="Calibri"/>
    </font>
    <font>
      <b/>
      <sz val="18"/>
      <color indexed="12"/>
      <name val="Calibri"/>
    </font>
    <font>
      <b/>
      <sz val="12"/>
      <color indexed="17"/>
      <name val="Calibri"/>
    </font>
    <font>
      <b/>
      <sz val="10"/>
      <color indexed="12"/>
      <name val="Calibri"/>
    </font>
    <font>
      <b/>
      <sz val="16"/>
      <color indexed="8"/>
      <name val="Calibri"/>
    </font>
    <font>
      <sz val="16"/>
      <color indexed="8"/>
      <name val="Calibri"/>
    </font>
    <font>
      <b/>
      <sz val="14"/>
      <color indexed="8"/>
      <name val="Calibri"/>
    </font>
    <font>
      <sz val="8"/>
      <color indexed="22"/>
      <name val="Calibri"/>
    </font>
    <font>
      <b/>
      <sz val="11"/>
      <color indexed="12"/>
      <name val="Calibri"/>
    </font>
    <font>
      <sz val="10"/>
      <color indexed="22"/>
      <name val="Calibri"/>
    </font>
    <font>
      <b/>
      <sz val="12"/>
      <color indexed="8"/>
      <name val="Calibri"/>
    </font>
    <font>
      <b/>
      <sz val="12"/>
      <color indexed="16"/>
      <name val="Calibri"/>
    </font>
    <font>
      <sz val="10"/>
      <color indexed="25"/>
      <name val="Calibri"/>
    </font>
    <font>
      <b/>
      <sz val="10"/>
      <color indexed="25"/>
      <name val="Calibri"/>
    </font>
    <font>
      <b/>
      <sz val="11"/>
      <color indexed="8"/>
      <name val="Calibri"/>
    </font>
    <font>
      <b/>
      <sz val="10"/>
      <color indexed="8"/>
      <name val="Calibri"/>
    </font>
    <font>
      <b/>
      <sz val="14"/>
      <color indexed="12"/>
      <name val="Calibri"/>
    </font>
    <font>
      <i/>
      <sz val="8"/>
      <color indexed="22"/>
      <name val="Calibri"/>
    </font>
    <font>
      <i/>
      <sz val="10"/>
      <color indexed="22"/>
      <name val="Calibri"/>
    </font>
    <font>
      <b/>
      <sz val="11"/>
      <color indexed="16"/>
      <name val="Calibri"/>
    </font>
    <font>
      <sz val="8"/>
      <color indexed="27"/>
      <name val="Calibri"/>
    </font>
    <font>
      <sz val="12"/>
      <color indexed="22"/>
      <name val="Calibri"/>
    </font>
    <font>
      <sz val="11"/>
      <color indexed="12"/>
      <name val="Calibri"/>
    </font>
    <font>
      <sz val="11"/>
      <color indexed="22"/>
      <name val="Calibri"/>
    </font>
    <font>
      <sz val="11"/>
      <color indexed="8"/>
      <name val="Calibri"/>
    </font>
    <font>
      <u/>
      <sz val="11"/>
      <color theme="11"/>
      <name val="Calibri"/>
    </font>
    <font>
      <b/>
      <sz val="10"/>
      <color rgb="FF0070C0"/>
      <name val="Calibri"/>
      <family val="2"/>
    </font>
    <font>
      <sz val="10"/>
      <color rgb="FF0070C0"/>
      <name val="Calibri"/>
      <family val="2"/>
    </font>
    <font>
      <sz val="10"/>
      <color theme="0"/>
      <name val="Calibri"/>
      <family val="2"/>
    </font>
    <font>
      <b/>
      <sz val="16"/>
      <color theme="0"/>
      <name val="Calibri"/>
      <family val="2"/>
    </font>
    <font>
      <b/>
      <sz val="11"/>
      <color rgb="FF0070C0"/>
      <name val="Calibri"/>
      <family val="2"/>
    </font>
    <font>
      <b/>
      <sz val="8"/>
      <color rgb="FF0070C0"/>
      <name val="Calibri"/>
      <family val="2"/>
    </font>
    <font>
      <b/>
      <sz val="11"/>
      <color rgb="FF0070C0"/>
      <name val="Helvetica Neue"/>
    </font>
    <font>
      <sz val="11"/>
      <color rgb="FF0070C0"/>
      <name val="Helvetica Neue"/>
    </font>
    <font>
      <b/>
      <sz val="16"/>
      <color rgb="FF0070C0"/>
      <name val="Helvetica Neue"/>
    </font>
    <font>
      <u/>
      <sz val="11"/>
      <color theme="10"/>
      <name val="Calibri"/>
    </font>
    <font>
      <sz val="12"/>
      <color indexed="8"/>
      <name val="Calibri"/>
    </font>
    <font>
      <sz val="10"/>
      <color indexed="8"/>
      <name val="Calibri"/>
      <family val="2"/>
    </font>
    <font>
      <sz val="8"/>
      <color indexed="27"/>
      <name val="Calibri"/>
      <family val="2"/>
    </font>
    <font>
      <sz val="10"/>
      <color indexed="16"/>
      <name val="Calibri"/>
      <family val="2"/>
    </font>
    <font>
      <u/>
      <sz val="10"/>
      <color indexed="8"/>
      <name val="Calibri"/>
      <family val="2"/>
    </font>
    <font>
      <sz val="10"/>
      <color rgb="FFFF0000"/>
      <name val="Calibri"/>
      <family val="2"/>
    </font>
    <font>
      <sz val="10"/>
      <color theme="5" tint="-0.24994659260841701"/>
      <name val="Calibri"/>
      <family val="2"/>
    </font>
    <font>
      <sz val="9"/>
      <color rgb="FFFF0000"/>
      <name val="Calibri"/>
      <family val="2"/>
    </font>
    <font>
      <sz val="8"/>
      <color indexed="8"/>
      <name val="Calibri"/>
      <family val="2"/>
    </font>
    <font>
      <sz val="8"/>
      <color rgb="FFFF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14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26"/>
        <bgColor auto="1"/>
      </patternFill>
    </fill>
    <fill>
      <patternFill patternType="solid">
        <fgColor indexed="30"/>
        <bgColor auto="1"/>
      </patternFill>
    </fill>
    <fill>
      <patternFill patternType="solid">
        <fgColor indexed="31"/>
        <bgColor auto="1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800040"/>
        <bgColor indexed="64"/>
      </patternFill>
    </fill>
  </fills>
  <borders count="134">
    <border>
      <left/>
      <right/>
      <top/>
      <bottom/>
      <diagonal/>
    </border>
    <border>
      <left style="thin">
        <color indexed="13"/>
      </left>
      <right/>
      <top style="thin">
        <color indexed="13"/>
      </top>
      <bottom/>
      <diagonal/>
    </border>
    <border>
      <left/>
      <right/>
      <top style="thin">
        <color indexed="13"/>
      </top>
      <bottom/>
      <diagonal/>
    </border>
    <border>
      <left/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indexed="16"/>
      </bottom>
      <diagonal/>
    </border>
    <border>
      <left/>
      <right style="thin">
        <color indexed="13"/>
      </right>
      <top/>
      <bottom/>
      <diagonal/>
    </border>
    <border>
      <left/>
      <right style="medium">
        <color indexed="16"/>
      </right>
      <top/>
      <bottom/>
      <diagonal/>
    </border>
    <border>
      <left style="medium">
        <color indexed="16"/>
      </left>
      <right/>
      <top style="medium">
        <color indexed="16"/>
      </top>
      <bottom/>
      <diagonal/>
    </border>
    <border>
      <left/>
      <right/>
      <top style="medium">
        <color indexed="16"/>
      </top>
      <bottom/>
      <diagonal/>
    </border>
    <border>
      <left/>
      <right style="medium">
        <color indexed="16"/>
      </right>
      <top style="medium">
        <color indexed="16"/>
      </top>
      <bottom/>
      <diagonal/>
    </border>
    <border>
      <left style="medium">
        <color indexed="16"/>
      </left>
      <right style="thin">
        <color indexed="13"/>
      </right>
      <top/>
      <bottom/>
      <diagonal/>
    </border>
    <border>
      <left style="thin">
        <color indexed="13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16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16"/>
      </right>
      <top/>
      <bottom/>
      <diagonal/>
    </border>
    <border>
      <left style="medium">
        <color indexed="16"/>
      </left>
      <right/>
      <top/>
      <bottom style="medium">
        <color indexed="16"/>
      </bottom>
      <diagonal/>
    </border>
    <border>
      <left/>
      <right style="medium">
        <color indexed="16"/>
      </right>
      <top/>
      <bottom style="medium">
        <color indexed="16"/>
      </bottom>
      <diagonal/>
    </border>
    <border>
      <left style="thin">
        <color indexed="13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13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13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 style="thin">
        <color indexed="13"/>
      </bottom>
      <diagonal/>
    </border>
    <border>
      <left/>
      <right/>
      <top/>
      <bottom style="thin">
        <color indexed="13"/>
      </bottom>
      <diagonal/>
    </border>
    <border>
      <left/>
      <right style="thin">
        <color indexed="13"/>
      </right>
      <top/>
      <bottom style="thin">
        <color indexed="13"/>
      </bottom>
      <diagonal/>
    </border>
    <border>
      <left style="thin">
        <color indexed="29"/>
      </left>
      <right/>
      <top style="thin">
        <color indexed="29"/>
      </top>
      <bottom/>
      <diagonal/>
    </border>
    <border>
      <left/>
      <right/>
      <top style="thin">
        <color indexed="29"/>
      </top>
      <bottom/>
      <diagonal/>
    </border>
    <border>
      <left/>
      <right style="thin">
        <color indexed="29"/>
      </right>
      <top style="thin">
        <color indexed="29"/>
      </top>
      <bottom style="thin">
        <color indexed="29"/>
      </bottom>
      <diagonal/>
    </border>
    <border>
      <left style="thin">
        <color indexed="29"/>
      </left>
      <right style="thin">
        <color indexed="29"/>
      </right>
      <top style="thin">
        <color indexed="29"/>
      </top>
      <bottom style="thin">
        <color indexed="29"/>
      </bottom>
      <diagonal/>
    </border>
    <border>
      <left style="thin">
        <color indexed="29"/>
      </left>
      <right style="thin">
        <color indexed="29"/>
      </right>
      <top/>
      <bottom style="thin">
        <color indexed="29"/>
      </bottom>
      <diagonal/>
    </border>
    <border>
      <left style="thin">
        <color indexed="29"/>
      </left>
      <right style="thin">
        <color indexed="29"/>
      </right>
      <top style="thin">
        <color indexed="29"/>
      </top>
      <bottom/>
      <diagonal/>
    </border>
    <border>
      <left style="thin">
        <color indexed="29"/>
      </left>
      <right/>
      <top/>
      <bottom/>
      <diagonal/>
    </border>
    <border>
      <left/>
      <right/>
      <top style="thin">
        <color indexed="29"/>
      </top>
      <bottom style="thin">
        <color indexed="29"/>
      </bottom>
      <diagonal/>
    </border>
    <border>
      <left style="thin">
        <color indexed="29"/>
      </left>
      <right style="thin">
        <color indexed="29"/>
      </right>
      <top/>
      <bottom style="medium">
        <color indexed="8"/>
      </bottom>
      <diagonal/>
    </border>
    <border>
      <left style="thin">
        <color indexed="29"/>
      </left>
      <right/>
      <top style="thin">
        <color indexed="29"/>
      </top>
      <bottom style="thin">
        <color indexed="29"/>
      </bottom>
      <diagonal/>
    </border>
    <border>
      <left style="thin">
        <color indexed="29"/>
      </left>
      <right style="thin">
        <color indexed="29"/>
      </right>
      <top style="thin">
        <color indexed="29"/>
      </top>
      <bottom style="medium">
        <color indexed="8"/>
      </bottom>
      <diagonal/>
    </border>
    <border>
      <left style="medium">
        <color indexed="8"/>
      </left>
      <right style="thin">
        <color indexed="29"/>
      </right>
      <top style="thin">
        <color indexed="29"/>
      </top>
      <bottom style="thin">
        <color indexed="29"/>
      </bottom>
      <diagonal/>
    </border>
    <border>
      <left style="thin">
        <color indexed="29"/>
      </left>
      <right style="thin">
        <color indexed="29"/>
      </right>
      <top style="thin">
        <color indexed="29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29"/>
      </bottom>
      <diagonal/>
    </border>
    <border>
      <left style="medium">
        <color indexed="8"/>
      </left>
      <right style="thin">
        <color indexed="8"/>
      </right>
      <top style="thin">
        <color indexed="29"/>
      </top>
      <bottom style="thin">
        <color indexed="29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29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29"/>
      </right>
      <top style="thin">
        <color indexed="29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29"/>
      </left>
      <right/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29"/>
      </top>
      <bottom style="thin">
        <color indexed="29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auto="1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auto="1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medium">
        <color auto="1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thin">
        <color indexed="8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medium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 style="medium">
        <color indexed="8"/>
      </bottom>
      <diagonal/>
    </border>
    <border>
      <left style="medium">
        <color auto="1"/>
      </left>
      <right style="medium">
        <color auto="1"/>
      </right>
      <top style="thin">
        <color indexed="8"/>
      </top>
      <bottom style="medium">
        <color indexed="8"/>
      </bottom>
      <diagonal/>
    </border>
    <border>
      <left style="medium">
        <color auto="1"/>
      </left>
      <right style="medium">
        <color auto="1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auto="1"/>
      </left>
      <right/>
      <top style="thin">
        <color indexed="8"/>
      </top>
      <bottom/>
      <diagonal/>
    </border>
    <border>
      <left style="medium">
        <color auto="1"/>
      </left>
      <right style="medium">
        <color auto="1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auto="1"/>
      </left>
      <right/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auto="1"/>
      </bottom>
      <diagonal/>
    </border>
    <border>
      <left style="thin">
        <color indexed="8"/>
      </left>
      <right style="medium">
        <color auto="1"/>
      </right>
      <top style="medium">
        <color indexed="8"/>
      </top>
      <bottom style="thin">
        <color auto="1"/>
      </bottom>
      <diagonal/>
    </border>
    <border>
      <left style="medium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8"/>
      </left>
      <right style="thin">
        <color indexed="8"/>
      </right>
      <top style="thin">
        <color auto="1"/>
      </top>
      <bottom style="medium">
        <color indexed="8"/>
      </bottom>
      <diagonal/>
    </border>
    <border>
      <left style="thin">
        <color indexed="8"/>
      </left>
      <right style="medium">
        <color auto="1"/>
      </right>
      <top style="thin">
        <color auto="1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8"/>
      </right>
      <top style="thin">
        <color indexed="29"/>
      </top>
      <bottom/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29"/>
      </right>
      <top/>
      <bottom style="medium">
        <color indexed="8"/>
      </bottom>
      <diagonal/>
    </border>
    <border>
      <left style="thin">
        <color auto="1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auto="1"/>
      </bottom>
      <diagonal/>
    </border>
    <border>
      <left style="medium">
        <color indexed="8"/>
      </left>
      <right style="thin">
        <color indexed="29"/>
      </right>
      <top style="thin">
        <color indexed="29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29"/>
      </top>
      <bottom style="thin">
        <color auto="1"/>
      </bottom>
      <diagonal/>
    </border>
    <border>
      <left style="thin">
        <color auto="1"/>
      </left>
      <right/>
      <top style="medium">
        <color indexed="16"/>
      </top>
      <bottom/>
      <diagonal/>
    </border>
    <border>
      <left/>
      <right style="thin">
        <color auto="1"/>
      </right>
      <top/>
      <bottom style="medium">
        <color indexed="8"/>
      </bottom>
      <diagonal/>
    </border>
  </borders>
  <cellStyleXfs count="167">
    <xf numFmtId="0" fontId="0" fillId="0" borderId="0" applyNumberFormat="0" applyFill="0" applyBorder="0" applyProtection="0"/>
    <xf numFmtId="0" fontId="26" fillId="0" borderId="5" applyNumberFormat="0" applyFill="0" applyBorder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284">
    <xf numFmtId="0" fontId="0" fillId="0" borderId="0" xfId="0"/>
    <xf numFmtId="0" fontId="0" fillId="0" borderId="0" xfId="0" applyNumberFormat="1"/>
    <xf numFmtId="0" fontId="0" fillId="0" borderId="2" xfId="0" applyBorder="1"/>
    <xf numFmtId="0" fontId="3" fillId="0" borderId="2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4" fillId="3" borderId="5" xfId="0" applyFont="1" applyFill="1" applyBorder="1" applyAlignment="1">
      <alignment horizontal="left" wrapText="1"/>
    </xf>
    <xf numFmtId="0" fontId="0" fillId="0" borderId="8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7" xfId="0" applyBorder="1"/>
    <xf numFmtId="0" fontId="0" fillId="0" borderId="18" xfId="0" applyBorder="1"/>
    <xf numFmtId="0" fontId="7" fillId="0" borderId="17" xfId="0" applyFont="1" applyBorder="1"/>
    <xf numFmtId="0" fontId="8" fillId="3" borderId="21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49" fontId="9" fillId="3" borderId="22" xfId="0" applyNumberFormat="1" applyFont="1" applyFill="1" applyBorder="1" applyAlignment="1">
      <alignment horizontal="center" vertical="top" wrapText="1"/>
    </xf>
    <xf numFmtId="0" fontId="8" fillId="3" borderId="5" xfId="0" applyFont="1" applyFill="1" applyBorder="1" applyAlignment="1">
      <alignment horizontal="center" vertical="center"/>
    </xf>
    <xf numFmtId="0" fontId="0" fillId="0" borderId="21" xfId="0" applyBorder="1"/>
    <xf numFmtId="0" fontId="0" fillId="0" borderId="22" xfId="0" applyBorder="1"/>
    <xf numFmtId="0" fontId="0" fillId="0" borderId="24" xfId="0" applyBorder="1"/>
    <xf numFmtId="0" fontId="0" fillId="0" borderId="27" xfId="0" applyBorder="1"/>
    <xf numFmtId="0" fontId="0" fillId="0" borderId="28" xfId="0" applyBorder="1"/>
    <xf numFmtId="49" fontId="16" fillId="3" borderId="29" xfId="0" applyNumberFormat="1" applyFont="1" applyFill="1" applyBorder="1" applyAlignment="1">
      <alignment horizontal="center" vertical="center" wrapText="1"/>
    </xf>
    <xf numFmtId="49" fontId="16" fillId="3" borderId="30" xfId="0" applyNumberFormat="1" applyFont="1" applyFill="1" applyBorder="1" applyAlignment="1">
      <alignment horizontal="center" vertical="center" wrapText="1"/>
    </xf>
    <xf numFmtId="1" fontId="18" fillId="4" borderId="31" xfId="0" applyNumberFormat="1" applyFont="1" applyFill="1" applyBorder="1" applyAlignment="1">
      <alignment horizontal="center" vertical="center" wrapText="1"/>
    </xf>
    <xf numFmtId="1" fontId="18" fillId="4" borderId="32" xfId="0" applyNumberFormat="1" applyFont="1" applyFill="1" applyBorder="1" applyAlignment="1">
      <alignment horizontal="center" vertical="center" wrapText="1"/>
    </xf>
    <xf numFmtId="0" fontId="0" fillId="0" borderId="33" xfId="0" applyBorder="1"/>
    <xf numFmtId="49" fontId="19" fillId="3" borderId="34" xfId="0" applyNumberFormat="1" applyFont="1" applyFill="1" applyBorder="1" applyAlignment="1">
      <alignment horizontal="center" vertical="top" wrapText="1"/>
    </xf>
    <xf numFmtId="49" fontId="20" fillId="3" borderId="34" xfId="0" applyNumberFormat="1" applyFont="1" applyFill="1" applyBorder="1" applyAlignment="1">
      <alignment horizontal="center" vertical="top" wrapText="1"/>
    </xf>
    <xf numFmtId="0" fontId="0" fillId="0" borderId="34" xfId="0" applyBorder="1"/>
    <xf numFmtId="0" fontId="0" fillId="0" borderId="35" xfId="0" applyBorder="1"/>
    <xf numFmtId="0" fontId="21" fillId="3" borderId="35" xfId="0" applyFont="1" applyFill="1" applyBorder="1" applyAlignment="1">
      <alignment horizontal="center" vertical="center"/>
    </xf>
    <xf numFmtId="0" fontId="21" fillId="3" borderId="7" xfId="0" applyFont="1" applyFill="1" applyBorder="1" applyAlignment="1">
      <alignment horizontal="center" vertical="center"/>
    </xf>
    <xf numFmtId="0" fontId="0" fillId="3" borderId="24" xfId="0" applyFill="1" applyBorder="1" applyAlignment="1">
      <alignment vertical="top"/>
    </xf>
    <xf numFmtId="1" fontId="18" fillId="2" borderId="31" xfId="0" applyNumberFormat="1" applyFont="1" applyFill="1" applyBorder="1" applyAlignment="1">
      <alignment horizontal="center" vertical="center"/>
    </xf>
    <xf numFmtId="1" fontId="18" fillId="2" borderId="32" xfId="0" applyNumberFormat="1" applyFont="1" applyFill="1" applyBorder="1" applyAlignment="1">
      <alignment horizontal="center" vertical="center"/>
    </xf>
    <xf numFmtId="0" fontId="22" fillId="3" borderId="36" xfId="0" applyFont="1" applyFill="1" applyBorder="1" applyAlignment="1">
      <alignment vertical="center" wrapText="1"/>
    </xf>
    <xf numFmtId="0" fontId="0" fillId="0" borderId="37" xfId="0" applyBorder="1"/>
    <xf numFmtId="49" fontId="21" fillId="3" borderId="37" xfId="0" applyNumberFormat="1" applyFont="1" applyFill="1" applyBorder="1" applyAlignment="1">
      <alignment horizontal="center" vertical="center"/>
    </xf>
    <xf numFmtId="0" fontId="0" fillId="3" borderId="5" xfId="0" applyFill="1" applyBorder="1" applyAlignment="1">
      <alignment vertical="top"/>
    </xf>
    <xf numFmtId="0" fontId="23" fillId="3" borderId="5" xfId="0" applyFont="1" applyFill="1" applyBorder="1" applyAlignment="1">
      <alignment vertical="center" wrapText="1"/>
    </xf>
    <xf numFmtId="0" fontId="0" fillId="3" borderId="7" xfId="0" applyFill="1" applyBorder="1" applyAlignment="1">
      <alignment vertical="top"/>
    </xf>
    <xf numFmtId="0" fontId="22" fillId="3" borderId="38" xfId="0" applyFont="1" applyFill="1" applyBorder="1" applyAlignment="1">
      <alignment vertical="center" wrapText="1"/>
    </xf>
    <xf numFmtId="0" fontId="0" fillId="0" borderId="39" xfId="0" applyBorder="1"/>
    <xf numFmtId="0" fontId="0" fillId="3" borderId="39" xfId="0" applyFill="1" applyBorder="1"/>
    <xf numFmtId="0" fontId="0" fillId="3" borderId="40" xfId="0" applyFill="1" applyBorder="1"/>
    <xf numFmtId="0" fontId="0" fillId="0" borderId="43" xfId="0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48" xfId="0" applyBorder="1"/>
    <xf numFmtId="0" fontId="0" fillId="0" borderId="49" xfId="0" applyBorder="1"/>
    <xf numFmtId="0" fontId="0" fillId="0" borderId="50" xfId="0" applyBorder="1"/>
    <xf numFmtId="0" fontId="0" fillId="0" borderId="51" xfId="0" applyBorder="1"/>
    <xf numFmtId="0" fontId="0" fillId="0" borderId="52" xfId="0" applyBorder="1"/>
    <xf numFmtId="0" fontId="0" fillId="0" borderId="53" xfId="0" applyBorder="1"/>
    <xf numFmtId="0" fontId="0" fillId="0" borderId="56" xfId="0" applyBorder="1"/>
    <xf numFmtId="0" fontId="1" fillId="3" borderId="52" xfId="0" applyFont="1" applyFill="1" applyBorder="1"/>
    <xf numFmtId="49" fontId="16" fillId="3" borderId="31" xfId="0" applyNumberFormat="1" applyFont="1" applyFill="1" applyBorder="1" applyAlignment="1">
      <alignment horizontal="center" vertical="center" wrapText="1"/>
    </xf>
    <xf numFmtId="49" fontId="16" fillId="3" borderId="32" xfId="0" applyNumberFormat="1" applyFont="1" applyFill="1" applyBorder="1" applyAlignment="1">
      <alignment horizontal="center" vertical="center" wrapText="1"/>
    </xf>
    <xf numFmtId="1" fontId="0" fillId="3" borderId="25" xfId="0" applyNumberFormat="1" applyFill="1" applyBorder="1" applyAlignment="1">
      <alignment horizontal="right" vertical="center"/>
    </xf>
    <xf numFmtId="1" fontId="0" fillId="3" borderId="25" xfId="0" applyNumberFormat="1" applyFill="1" applyBorder="1" applyAlignment="1">
      <alignment horizontal="center" vertical="center"/>
    </xf>
    <xf numFmtId="1" fontId="0" fillId="3" borderId="26" xfId="0" applyNumberFormat="1" applyFill="1" applyBorder="1" applyAlignment="1">
      <alignment horizontal="center" vertical="center"/>
    </xf>
    <xf numFmtId="0" fontId="0" fillId="3" borderId="25" xfId="0" applyNumberFormat="1" applyFill="1" applyBorder="1" applyAlignment="1">
      <alignment horizontal="center" vertical="center"/>
    </xf>
    <xf numFmtId="0" fontId="0" fillId="3" borderId="61" xfId="0" applyNumberFormat="1" applyFill="1" applyBorder="1" applyAlignment="1">
      <alignment horizontal="center" vertical="center"/>
    </xf>
    <xf numFmtId="1" fontId="1" fillId="3" borderId="61" xfId="0" applyNumberFormat="1" applyFont="1" applyFill="1" applyBorder="1" applyAlignment="1">
      <alignment horizontal="center" vertical="center" wrapText="1"/>
    </xf>
    <xf numFmtId="49" fontId="25" fillId="0" borderId="16" xfId="0" applyNumberFormat="1" applyFont="1" applyBorder="1"/>
    <xf numFmtId="1" fontId="0" fillId="3" borderId="29" xfId="0" applyNumberFormat="1" applyFill="1" applyBorder="1" applyAlignment="1">
      <alignment horizontal="right" vertical="center"/>
    </xf>
    <xf numFmtId="1" fontId="0" fillId="3" borderId="29" xfId="0" applyNumberFormat="1" applyFill="1" applyBorder="1" applyAlignment="1">
      <alignment horizontal="center" vertical="center"/>
    </xf>
    <xf numFmtId="1" fontId="0" fillId="3" borderId="30" xfId="0" applyNumberFormat="1" applyFill="1" applyBorder="1" applyAlignment="1">
      <alignment horizontal="center" vertical="center"/>
    </xf>
    <xf numFmtId="0" fontId="0" fillId="3" borderId="29" xfId="0" applyNumberFormat="1" applyFill="1" applyBorder="1" applyAlignment="1">
      <alignment horizontal="center" vertical="center"/>
    </xf>
    <xf numFmtId="0" fontId="0" fillId="3" borderId="16" xfId="0" applyNumberFormat="1" applyFill="1" applyBorder="1" applyAlignment="1">
      <alignment horizontal="center" vertical="center"/>
    </xf>
    <xf numFmtId="1" fontId="0" fillId="3" borderId="31" xfId="0" applyNumberFormat="1" applyFill="1" applyBorder="1" applyAlignment="1">
      <alignment horizontal="right" vertical="center"/>
    </xf>
    <xf numFmtId="1" fontId="0" fillId="3" borderId="31" xfId="0" applyNumberFormat="1" applyFill="1" applyBorder="1" applyAlignment="1">
      <alignment horizontal="center" vertical="center"/>
    </xf>
    <xf numFmtId="1" fontId="0" fillId="3" borderId="32" xfId="0" applyNumberFormat="1" applyFill="1" applyBorder="1" applyAlignment="1">
      <alignment horizontal="center" vertical="center"/>
    </xf>
    <xf numFmtId="0" fontId="0" fillId="3" borderId="31" xfId="0" applyNumberFormat="1" applyFill="1" applyBorder="1" applyAlignment="1">
      <alignment horizontal="center" vertical="center"/>
    </xf>
    <xf numFmtId="0" fontId="0" fillId="3" borderId="63" xfId="0" applyNumberFormat="1" applyFill="1" applyBorder="1" applyAlignment="1">
      <alignment horizontal="center" vertical="center"/>
    </xf>
    <xf numFmtId="0" fontId="0" fillId="0" borderId="64" xfId="0" applyBorder="1"/>
    <xf numFmtId="0" fontId="0" fillId="0" borderId="65" xfId="0" applyBorder="1"/>
    <xf numFmtId="0" fontId="0" fillId="0" borderId="41" xfId="0" applyBorder="1"/>
    <xf numFmtId="49" fontId="28" fillId="7" borderId="16" xfId="0" applyNumberFormat="1" applyFont="1" applyFill="1" applyBorder="1" applyAlignment="1">
      <alignment horizontal="center" vertical="center" wrapText="1"/>
    </xf>
    <xf numFmtId="49" fontId="30" fillId="8" borderId="16" xfId="0" applyNumberFormat="1" applyFont="1" applyFill="1" applyBorder="1" applyAlignment="1">
      <alignment horizontal="center" vertical="center" wrapText="1"/>
    </xf>
    <xf numFmtId="0" fontId="31" fillId="8" borderId="16" xfId="0" applyNumberFormat="1" applyFont="1" applyFill="1" applyBorder="1" applyAlignment="1">
      <alignment horizontal="center" vertical="center"/>
    </xf>
    <xf numFmtId="49" fontId="32" fillId="7" borderId="16" xfId="0" applyNumberFormat="1" applyFont="1" applyFill="1" applyBorder="1" applyAlignment="1">
      <alignment horizontal="center" vertical="center" wrapText="1"/>
    </xf>
    <xf numFmtId="49" fontId="34" fillId="10" borderId="16" xfId="0" applyNumberFormat="1" applyFont="1" applyFill="1" applyBorder="1" applyAlignment="1">
      <alignment horizontal="center" vertical="center" wrapText="1"/>
    </xf>
    <xf numFmtId="1" fontId="36" fillId="10" borderId="16" xfId="0" applyNumberFormat="1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0" borderId="66" xfId="0" applyBorder="1"/>
    <xf numFmtId="49" fontId="16" fillId="3" borderId="68" xfId="0" applyNumberFormat="1" applyFont="1" applyFill="1" applyBorder="1" applyAlignment="1">
      <alignment horizontal="center" vertical="center" wrapText="1"/>
    </xf>
    <xf numFmtId="0" fontId="0" fillId="0" borderId="70" xfId="0" applyBorder="1"/>
    <xf numFmtId="1" fontId="12" fillId="3" borderId="70" xfId="0" applyNumberFormat="1" applyFont="1" applyFill="1" applyBorder="1" applyAlignment="1">
      <alignment horizontal="center" vertical="center"/>
    </xf>
    <xf numFmtId="0" fontId="0" fillId="0" borderId="71" xfId="0" applyBorder="1"/>
    <xf numFmtId="49" fontId="0" fillId="3" borderId="74" xfId="0" applyNumberFormat="1" applyFill="1" applyBorder="1" applyAlignment="1">
      <alignment horizontal="right" vertical="center"/>
    </xf>
    <xf numFmtId="1" fontId="1" fillId="3" borderId="75" xfId="0" applyNumberFormat="1" applyFont="1" applyFill="1" applyBorder="1" applyAlignment="1">
      <alignment horizontal="center" vertical="center"/>
    </xf>
    <xf numFmtId="1" fontId="18" fillId="2" borderId="75" xfId="0" applyNumberFormat="1" applyFont="1" applyFill="1" applyBorder="1" applyAlignment="1">
      <alignment horizontal="center" vertical="center"/>
    </xf>
    <xf numFmtId="49" fontId="25" fillId="0" borderId="78" xfId="0" applyNumberFormat="1" applyFont="1" applyBorder="1"/>
    <xf numFmtId="49" fontId="16" fillId="3" borderId="73" xfId="0" applyNumberFormat="1" applyFont="1" applyFill="1" applyBorder="1" applyAlignment="1">
      <alignment horizontal="center" vertical="center" wrapText="1"/>
    </xf>
    <xf numFmtId="49" fontId="16" fillId="3" borderId="72" xfId="0" applyNumberFormat="1" applyFont="1" applyFill="1" applyBorder="1" applyAlignment="1">
      <alignment horizontal="center" vertical="center" wrapText="1"/>
    </xf>
    <xf numFmtId="1" fontId="0" fillId="3" borderId="77" xfId="0" applyNumberFormat="1" applyFill="1" applyBorder="1" applyAlignment="1">
      <alignment horizontal="right" vertical="center"/>
    </xf>
    <xf numFmtId="1" fontId="0" fillId="3" borderId="77" xfId="0" applyNumberFormat="1" applyFill="1" applyBorder="1" applyAlignment="1">
      <alignment horizontal="center" vertical="center"/>
    </xf>
    <xf numFmtId="1" fontId="0" fillId="3" borderId="76" xfId="0" applyNumberFormat="1" applyFill="1" applyBorder="1" applyAlignment="1">
      <alignment horizontal="center" vertical="center"/>
    </xf>
    <xf numFmtId="1" fontId="0" fillId="0" borderId="5" xfId="0" applyNumberFormat="1" applyBorder="1"/>
    <xf numFmtId="0" fontId="6" fillId="9" borderId="16" xfId="0" applyNumberFormat="1" applyFont="1" applyFill="1" applyBorder="1" applyAlignment="1" applyProtection="1">
      <alignment horizontal="center" vertical="center"/>
      <protection locked="0"/>
    </xf>
    <xf numFmtId="49" fontId="8" fillId="9" borderId="16" xfId="0" applyNumberFormat="1" applyFont="1" applyFill="1" applyBorder="1" applyAlignment="1" applyProtection="1">
      <alignment horizontal="center" vertical="center"/>
      <protection locked="0"/>
    </xf>
    <xf numFmtId="0" fontId="8" fillId="9" borderId="16" xfId="0" applyNumberFormat="1" applyFont="1" applyFill="1" applyBorder="1" applyAlignment="1" applyProtection="1">
      <alignment horizontal="center" vertical="center"/>
      <protection locked="0"/>
    </xf>
    <xf numFmtId="0" fontId="2" fillId="11" borderId="42" xfId="0" applyFont="1" applyFill="1" applyBorder="1" applyAlignment="1">
      <alignment horizontal="center"/>
    </xf>
    <xf numFmtId="1" fontId="0" fillId="3" borderId="73" xfId="0" applyNumberFormat="1" applyFill="1" applyBorder="1" applyAlignment="1">
      <alignment horizontal="right" vertical="center"/>
    </xf>
    <xf numFmtId="1" fontId="0" fillId="3" borderId="73" xfId="0" applyNumberFormat="1" applyFill="1" applyBorder="1" applyAlignment="1">
      <alignment horizontal="center" vertical="center"/>
    </xf>
    <xf numFmtId="1" fontId="0" fillId="3" borderId="72" xfId="0" applyNumberFormat="1" applyFill="1" applyBorder="1" applyAlignment="1">
      <alignment horizontal="center" vertical="center"/>
    </xf>
    <xf numFmtId="0" fontId="0" fillId="3" borderId="73" xfId="0" applyNumberFormat="1" applyFill="1" applyBorder="1" applyAlignment="1">
      <alignment horizontal="center" vertical="center"/>
    </xf>
    <xf numFmtId="0" fontId="0" fillId="3" borderId="102" xfId="0" applyNumberFormat="1" applyFill="1" applyBorder="1" applyAlignment="1">
      <alignment horizontal="center" vertical="center"/>
    </xf>
    <xf numFmtId="49" fontId="0" fillId="3" borderId="5" xfId="0" applyNumberFormat="1" applyFill="1" applyBorder="1" applyAlignment="1">
      <alignment horizontal="right" vertical="center"/>
    </xf>
    <xf numFmtId="1" fontId="1" fillId="3" borderId="5" xfId="0" applyNumberFormat="1" applyFont="1" applyFill="1" applyBorder="1" applyAlignment="1">
      <alignment horizontal="center" vertical="center"/>
    </xf>
    <xf numFmtId="49" fontId="25" fillId="0" borderId="5" xfId="0" applyNumberFormat="1" applyFont="1" applyBorder="1"/>
    <xf numFmtId="1" fontId="0" fillId="3" borderId="104" xfId="0" applyNumberFormat="1" applyFill="1" applyBorder="1" applyAlignment="1">
      <alignment horizontal="right" vertical="center"/>
    </xf>
    <xf numFmtId="1" fontId="0" fillId="3" borderId="104" xfId="0" applyNumberFormat="1" applyFill="1" applyBorder="1" applyAlignment="1">
      <alignment horizontal="center" vertical="center"/>
    </xf>
    <xf numFmtId="1" fontId="0" fillId="3" borderId="105" xfId="0" applyNumberFormat="1" applyFill="1" applyBorder="1" applyAlignment="1">
      <alignment horizontal="center" vertical="center"/>
    </xf>
    <xf numFmtId="0" fontId="0" fillId="3" borderId="104" xfId="0" applyNumberFormat="1" applyFill="1" applyBorder="1" applyAlignment="1">
      <alignment horizontal="center" vertical="center"/>
    </xf>
    <xf numFmtId="0" fontId="0" fillId="3" borderId="108" xfId="0" applyNumberFormat="1" applyFill="1" applyBorder="1" applyAlignment="1">
      <alignment horizontal="center" vertical="center"/>
    </xf>
    <xf numFmtId="49" fontId="5" fillId="12" borderId="16" xfId="0" applyNumberFormat="1" applyFont="1" applyFill="1" applyBorder="1" applyAlignment="1">
      <alignment horizontal="center" vertical="center" wrapText="1"/>
    </xf>
    <xf numFmtId="0" fontId="8" fillId="3" borderId="65" xfId="0" applyFont="1" applyFill="1" applyBorder="1" applyAlignment="1">
      <alignment horizontal="center" vertical="center"/>
    </xf>
    <xf numFmtId="1" fontId="0" fillId="3" borderId="109" xfId="0" applyNumberFormat="1" applyFill="1" applyBorder="1" applyAlignment="1">
      <alignment horizontal="center" vertical="center"/>
    </xf>
    <xf numFmtId="1" fontId="0" fillId="3" borderId="110" xfId="0" applyNumberFormat="1" applyFill="1" applyBorder="1" applyAlignment="1">
      <alignment horizontal="center" vertical="center"/>
    </xf>
    <xf numFmtId="1" fontId="0" fillId="3" borderId="111" xfId="0" applyNumberFormat="1" applyFill="1" applyBorder="1" applyAlignment="1">
      <alignment horizontal="center" vertical="center"/>
    </xf>
    <xf numFmtId="1" fontId="0" fillId="3" borderId="112" xfId="0" applyNumberFormat="1" applyFill="1" applyBorder="1" applyAlignment="1">
      <alignment horizontal="center" vertical="center"/>
    </xf>
    <xf numFmtId="1" fontId="0" fillId="3" borderId="113" xfId="0" applyNumberFormat="1" applyFill="1" applyBorder="1" applyAlignment="1">
      <alignment horizontal="center" vertical="center"/>
    </xf>
    <xf numFmtId="1" fontId="0" fillId="3" borderId="114" xfId="0" applyNumberFormat="1" applyFill="1" applyBorder="1" applyAlignment="1">
      <alignment horizontal="center" vertical="center"/>
    </xf>
    <xf numFmtId="1" fontId="18" fillId="2" borderId="22" xfId="0" applyNumberFormat="1" applyFont="1" applyFill="1" applyBorder="1" applyAlignment="1">
      <alignment horizontal="center" vertical="center" wrapText="1"/>
    </xf>
    <xf numFmtId="1" fontId="0" fillId="3" borderId="116" xfId="0" applyNumberFormat="1" applyFill="1" applyBorder="1" applyAlignment="1">
      <alignment horizontal="center" vertical="center"/>
    </xf>
    <xf numFmtId="1" fontId="0" fillId="0" borderId="44" xfId="0" applyNumberFormat="1" applyBorder="1"/>
    <xf numFmtId="1" fontId="0" fillId="0" borderId="46" xfId="0" applyNumberFormat="1" applyBorder="1"/>
    <xf numFmtId="1" fontId="0" fillId="0" borderId="49" xfId="0" applyNumberFormat="1" applyBorder="1"/>
    <xf numFmtId="1" fontId="16" fillId="3" borderId="115" xfId="0" applyNumberFormat="1" applyFont="1" applyFill="1" applyBorder="1" applyAlignment="1">
      <alignment horizontal="center" vertical="center"/>
    </xf>
    <xf numFmtId="1" fontId="0" fillId="6" borderId="22" xfId="0" applyNumberFormat="1" applyFill="1" applyBorder="1" applyAlignment="1">
      <alignment horizontal="center" vertical="center" wrapText="1"/>
    </xf>
    <xf numFmtId="1" fontId="16" fillId="3" borderId="34" xfId="0" applyNumberFormat="1" applyFont="1" applyFill="1" applyBorder="1" applyAlignment="1">
      <alignment horizontal="center" vertical="center" wrapText="1"/>
    </xf>
    <xf numFmtId="1" fontId="0" fillId="0" borderId="0" xfId="0" applyNumberFormat="1"/>
    <xf numFmtId="1" fontId="0" fillId="3" borderId="117" xfId="0" applyNumberFormat="1" applyFill="1" applyBorder="1" applyAlignment="1">
      <alignment horizontal="center" vertical="center"/>
    </xf>
    <xf numFmtId="1" fontId="0" fillId="3" borderId="118" xfId="0" applyNumberFormat="1" applyFill="1" applyBorder="1" applyAlignment="1">
      <alignment horizontal="center" vertical="center"/>
    </xf>
    <xf numFmtId="0" fontId="0" fillId="0" borderId="69" xfId="0" applyBorder="1"/>
    <xf numFmtId="0" fontId="12" fillId="0" borderId="69" xfId="0" applyFont="1" applyBorder="1"/>
    <xf numFmtId="0" fontId="0" fillId="3" borderId="69" xfId="0" applyFill="1" applyBorder="1" applyAlignment="1">
      <alignment horizontal="center" vertical="center"/>
    </xf>
    <xf numFmtId="0" fontId="0" fillId="3" borderId="119" xfId="0" applyFill="1" applyBorder="1" applyAlignment="1">
      <alignment horizontal="center" vertical="center"/>
    </xf>
    <xf numFmtId="0" fontId="1" fillId="3" borderId="5" xfId="0" applyFont="1" applyFill="1" applyBorder="1"/>
    <xf numFmtId="0" fontId="0" fillId="3" borderId="5" xfId="0" applyFill="1" applyBorder="1"/>
    <xf numFmtId="49" fontId="0" fillId="3" borderId="121" xfId="0" applyNumberFormat="1" applyFill="1" applyBorder="1" applyAlignment="1">
      <alignment horizontal="right" vertical="center"/>
    </xf>
    <xf numFmtId="0" fontId="0" fillId="0" borderId="125" xfId="0" applyBorder="1"/>
    <xf numFmtId="0" fontId="0" fillId="0" borderId="71" xfId="0" applyNumberFormat="1" applyBorder="1"/>
    <xf numFmtId="49" fontId="16" fillId="3" borderId="127" xfId="0" applyNumberFormat="1" applyFont="1" applyFill="1" applyBorder="1" applyAlignment="1">
      <alignment horizontal="center" vertical="center" wrapText="1"/>
    </xf>
    <xf numFmtId="49" fontId="16" fillId="3" borderId="128" xfId="0" applyNumberFormat="1" applyFont="1" applyFill="1" applyBorder="1" applyAlignment="1">
      <alignment horizontal="center" vertical="center" wrapText="1"/>
    </xf>
    <xf numFmtId="49" fontId="16" fillId="3" borderId="78" xfId="0" applyNumberFormat="1" applyFont="1" applyFill="1" applyBorder="1" applyAlignment="1">
      <alignment horizontal="center" vertical="center" wrapText="1"/>
    </xf>
    <xf numFmtId="0" fontId="0" fillId="3" borderId="129" xfId="0" applyFill="1" applyBorder="1"/>
    <xf numFmtId="0" fontId="0" fillId="0" borderId="130" xfId="0" applyNumberFormat="1" applyBorder="1"/>
    <xf numFmtId="1" fontId="18" fillId="7" borderId="5" xfId="0" applyNumberFormat="1" applyFont="1" applyFill="1" applyBorder="1" applyAlignment="1">
      <alignment horizontal="center" vertical="center"/>
    </xf>
    <xf numFmtId="0" fontId="2" fillId="0" borderId="131" xfId="0" applyFont="1" applyFill="1" applyBorder="1" applyAlignment="1">
      <alignment horizontal="center"/>
    </xf>
    <xf numFmtId="0" fontId="44" fillId="0" borderId="0" xfId="0" applyFont="1" applyAlignment="1">
      <alignment horizontal="center" wrapText="1"/>
    </xf>
    <xf numFmtId="49" fontId="40" fillId="3" borderId="5" xfId="0" applyNumberFormat="1" applyFont="1" applyFill="1" applyBorder="1" applyAlignment="1">
      <alignment horizontal="center" vertical="center" wrapText="1"/>
    </xf>
    <xf numFmtId="0" fontId="22" fillId="3" borderId="5" xfId="0" applyFont="1" applyFill="1" applyBorder="1" applyAlignment="1">
      <alignment vertical="center" wrapText="1"/>
    </xf>
    <xf numFmtId="49" fontId="2" fillId="12" borderId="1" xfId="0" applyNumberFormat="1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/>
    </xf>
    <xf numFmtId="49" fontId="3" fillId="12" borderId="2" xfId="0" applyNumberFormat="1" applyFont="1" applyFill="1" applyBorder="1" applyAlignment="1">
      <alignment horizontal="center"/>
    </xf>
    <xf numFmtId="0" fontId="3" fillId="12" borderId="2" xfId="0" applyFont="1" applyFill="1" applyBorder="1" applyAlignment="1">
      <alignment horizontal="center"/>
    </xf>
    <xf numFmtId="0" fontId="3" fillId="12" borderId="3" xfId="0" applyFont="1" applyFill="1" applyBorder="1" applyAlignment="1">
      <alignment horizontal="center"/>
    </xf>
    <xf numFmtId="49" fontId="4" fillId="3" borderId="4" xfId="0" applyNumberFormat="1" applyFont="1" applyFill="1" applyBorder="1" applyAlignment="1">
      <alignment horizontal="left" wrapText="1"/>
    </xf>
    <xf numFmtId="0" fontId="4" fillId="3" borderId="5" xfId="0" applyFont="1" applyFill="1" applyBorder="1" applyAlignment="1">
      <alignment horizontal="left" wrapText="1"/>
    </xf>
    <xf numFmtId="49" fontId="39" fillId="3" borderId="9" xfId="0" applyNumberFormat="1" applyFont="1" applyFill="1" applyBorder="1" applyAlignment="1">
      <alignment horizontal="center" vertical="center" wrapText="1"/>
    </xf>
    <xf numFmtId="0" fontId="39" fillId="3" borderId="10" xfId="0" applyFont="1" applyFill="1" applyBorder="1" applyAlignment="1">
      <alignment horizontal="center" vertical="center" wrapText="1"/>
    </xf>
    <xf numFmtId="0" fontId="39" fillId="3" borderId="11" xfId="0" applyFont="1" applyFill="1" applyBorder="1" applyAlignment="1">
      <alignment horizontal="center" vertical="center" wrapText="1"/>
    </xf>
    <xf numFmtId="0" fontId="39" fillId="3" borderId="15" xfId="0" applyFont="1" applyFill="1" applyBorder="1" applyAlignment="1">
      <alignment horizontal="center" vertical="center" wrapText="1"/>
    </xf>
    <xf numFmtId="0" fontId="39" fillId="3" borderId="5" xfId="0" applyFont="1" applyFill="1" applyBorder="1" applyAlignment="1">
      <alignment horizontal="center" vertical="center" wrapText="1"/>
    </xf>
    <xf numFmtId="0" fontId="39" fillId="3" borderId="8" xfId="0" applyFont="1" applyFill="1" applyBorder="1" applyAlignment="1">
      <alignment horizontal="center" vertical="center" wrapText="1"/>
    </xf>
    <xf numFmtId="0" fontId="39" fillId="3" borderId="19" xfId="0" applyFont="1" applyFill="1" applyBorder="1" applyAlignment="1">
      <alignment horizontal="center" vertical="center" wrapText="1"/>
    </xf>
    <xf numFmtId="0" fontId="39" fillId="3" borderId="6" xfId="0" applyFont="1" applyFill="1" applyBorder="1" applyAlignment="1">
      <alignment horizontal="center" vertical="center" wrapText="1"/>
    </xf>
    <xf numFmtId="0" fontId="39" fillId="3" borderId="20" xfId="0" applyFont="1" applyFill="1" applyBorder="1" applyAlignment="1">
      <alignment horizontal="center" vertical="center" wrapText="1"/>
    </xf>
    <xf numFmtId="49" fontId="11" fillId="3" borderId="5" xfId="0" applyNumberFormat="1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39" fillId="3" borderId="23" xfId="0" applyFont="1" applyFill="1" applyBorder="1" applyAlignment="1">
      <alignment horizontal="center" vertical="center" wrapText="1"/>
    </xf>
    <xf numFmtId="0" fontId="39" fillId="3" borderId="133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32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38" fillId="3" borderId="71" xfId="0" applyFont="1" applyFill="1" applyBorder="1" applyAlignment="1">
      <alignment horizontal="center" vertical="center" wrapText="1"/>
    </xf>
    <xf numFmtId="0" fontId="12" fillId="3" borderId="70" xfId="0" applyFont="1" applyFill="1" applyBorder="1" applyAlignment="1">
      <alignment horizontal="center" vertical="center" wrapText="1"/>
    </xf>
    <xf numFmtId="0" fontId="38" fillId="3" borderId="5" xfId="0" applyFont="1" applyFill="1" applyBorder="1" applyAlignment="1">
      <alignment horizontal="center" vertical="center" wrapText="1"/>
    </xf>
    <xf numFmtId="49" fontId="12" fillId="3" borderId="25" xfId="0" applyNumberFormat="1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49" fontId="45" fillId="0" borderId="35" xfId="0" applyNumberFormat="1" applyFont="1" applyBorder="1" applyAlignment="1">
      <alignment horizontal="center" vertical="center" wrapText="1"/>
    </xf>
    <xf numFmtId="49" fontId="40" fillId="3" borderId="5" xfId="0" applyNumberFormat="1" applyFont="1" applyFill="1" applyBorder="1" applyAlignment="1">
      <alignment horizontal="center" wrapText="1" readingOrder="1"/>
    </xf>
    <xf numFmtId="49" fontId="46" fillId="3" borderId="5" xfId="0" applyNumberFormat="1" applyFont="1" applyFill="1" applyBorder="1" applyAlignment="1">
      <alignment horizontal="center" vertical="center" wrapText="1"/>
    </xf>
    <xf numFmtId="0" fontId="40" fillId="3" borderId="36" xfId="0" applyNumberFormat="1" applyFont="1" applyFill="1" applyBorder="1" applyAlignment="1">
      <alignment horizontal="center" vertical="top" wrapText="1"/>
    </xf>
    <xf numFmtId="0" fontId="40" fillId="3" borderId="5" xfId="0" applyNumberFormat="1" applyFont="1" applyFill="1" applyBorder="1" applyAlignment="1">
      <alignment horizontal="center" vertical="top" wrapText="1"/>
    </xf>
    <xf numFmtId="49" fontId="14" fillId="3" borderId="16" xfId="0" applyNumberFormat="1" applyFont="1" applyFill="1" applyBorder="1" applyAlignment="1">
      <alignment horizontal="left" vertical="center" wrapText="1"/>
    </xf>
    <xf numFmtId="0" fontId="14" fillId="3" borderId="16" xfId="0" applyFont="1" applyFill="1" applyBorder="1" applyAlignment="1">
      <alignment horizontal="left" vertical="center" wrapText="1"/>
    </xf>
    <xf numFmtId="49" fontId="12" fillId="3" borderId="25" xfId="0" applyNumberFormat="1" applyFont="1" applyFill="1" applyBorder="1" applyAlignment="1">
      <alignment horizontal="center" vertical="center" wrapText="1"/>
    </xf>
    <xf numFmtId="1" fontId="1" fillId="3" borderId="95" xfId="0" applyNumberFormat="1" applyFont="1" applyFill="1" applyBorder="1" applyAlignment="1">
      <alignment horizontal="center" vertical="center"/>
    </xf>
    <xf numFmtId="1" fontId="1" fillId="3" borderId="90" xfId="0" applyNumberFormat="1" applyFont="1" applyFill="1" applyBorder="1" applyAlignment="1">
      <alignment horizontal="center" vertical="center"/>
    </xf>
    <xf numFmtId="1" fontId="1" fillId="3" borderId="100" xfId="0" applyNumberFormat="1" applyFont="1" applyFill="1" applyBorder="1" applyAlignment="1">
      <alignment horizontal="center" vertical="center"/>
    </xf>
    <xf numFmtId="1" fontId="1" fillId="3" borderId="96" xfId="0" applyNumberFormat="1" applyFont="1" applyFill="1" applyBorder="1" applyAlignment="1">
      <alignment horizontal="center" vertical="center"/>
    </xf>
    <xf numFmtId="1" fontId="1" fillId="3" borderId="82" xfId="0" applyNumberFormat="1" applyFont="1" applyFill="1" applyBorder="1" applyAlignment="1">
      <alignment horizontal="center" vertical="center"/>
    </xf>
    <xf numFmtId="1" fontId="1" fillId="3" borderId="83" xfId="0" applyNumberFormat="1" applyFont="1" applyFill="1" applyBorder="1" applyAlignment="1">
      <alignment horizontal="center" vertical="center"/>
    </xf>
    <xf numFmtId="1" fontId="1" fillId="3" borderId="101" xfId="0" applyNumberFormat="1" applyFont="1" applyFill="1" applyBorder="1" applyAlignment="1">
      <alignment horizontal="center" vertical="center"/>
    </xf>
    <xf numFmtId="1" fontId="1" fillId="3" borderId="97" xfId="0" applyNumberFormat="1" applyFont="1" applyFill="1" applyBorder="1" applyAlignment="1">
      <alignment horizontal="center" vertical="center"/>
    </xf>
    <xf numFmtId="1" fontId="1" fillId="3" borderId="89" xfId="0" applyNumberFormat="1" applyFont="1" applyFill="1" applyBorder="1" applyAlignment="1">
      <alignment horizontal="center" vertical="center"/>
    </xf>
    <xf numFmtId="1" fontId="1" fillId="3" borderId="106" xfId="0" applyNumberFormat="1" applyFont="1" applyFill="1" applyBorder="1" applyAlignment="1">
      <alignment horizontal="center" vertical="center"/>
    </xf>
    <xf numFmtId="1" fontId="1" fillId="3" borderId="98" xfId="0" applyNumberFormat="1" applyFont="1" applyFill="1" applyBorder="1" applyAlignment="1">
      <alignment horizontal="center" vertical="center"/>
    </xf>
    <xf numFmtId="1" fontId="1" fillId="3" borderId="107" xfId="0" applyNumberFormat="1" applyFont="1" applyFill="1" applyBorder="1" applyAlignment="1">
      <alignment horizontal="center" vertical="center"/>
    </xf>
    <xf numFmtId="1" fontId="1" fillId="3" borderId="84" xfId="0" applyNumberFormat="1" applyFont="1" applyFill="1" applyBorder="1" applyAlignment="1">
      <alignment horizontal="center" vertical="center"/>
    </xf>
    <xf numFmtId="0" fontId="0" fillId="3" borderId="54" xfId="0" applyNumberFormat="1" applyFill="1" applyBorder="1" applyAlignment="1">
      <alignment horizontal="center" vertical="center"/>
    </xf>
    <xf numFmtId="0" fontId="0" fillId="3" borderId="103" xfId="0" applyNumberFormat="1" applyFill="1" applyBorder="1" applyAlignment="1">
      <alignment horizontal="center" vertical="center"/>
    </xf>
    <xf numFmtId="0" fontId="0" fillId="3" borderId="62" xfId="0" applyFill="1" applyBorder="1" applyAlignment="1">
      <alignment horizontal="center" vertical="center"/>
    </xf>
    <xf numFmtId="0" fontId="0" fillId="3" borderId="59" xfId="0" applyFill="1" applyBorder="1" applyAlignment="1">
      <alignment horizontal="center" vertical="center"/>
    </xf>
    <xf numFmtId="1" fontId="1" fillId="3" borderId="91" xfId="0" applyNumberFormat="1" applyFont="1" applyFill="1" applyBorder="1" applyAlignment="1">
      <alignment horizontal="center" vertical="center"/>
    </xf>
    <xf numFmtId="49" fontId="2" fillId="11" borderId="41" xfId="0" applyNumberFormat="1" applyFont="1" applyFill="1" applyBorder="1" applyAlignment="1">
      <alignment horizontal="center"/>
    </xf>
    <xf numFmtId="0" fontId="2" fillId="11" borderId="42" xfId="0" applyFont="1" applyFill="1" applyBorder="1" applyAlignment="1">
      <alignment horizontal="center"/>
    </xf>
    <xf numFmtId="49" fontId="18" fillId="11" borderId="47" xfId="0" applyNumberFormat="1" applyFont="1" applyFill="1" applyBorder="1" applyAlignment="1">
      <alignment horizontal="left" vertical="center"/>
    </xf>
    <xf numFmtId="0" fontId="18" fillId="11" borderId="5" xfId="0" applyFont="1" applyFill="1" applyBorder="1" applyAlignment="1">
      <alignment horizontal="left" vertical="center"/>
    </xf>
    <xf numFmtId="49" fontId="18" fillId="5" borderId="5" xfId="0" applyNumberFormat="1" applyFont="1" applyFill="1" applyBorder="1" applyAlignment="1">
      <alignment horizontal="left" vertical="center"/>
    </xf>
    <xf numFmtId="0" fontId="18" fillId="5" borderId="5" xfId="0" applyFont="1" applyFill="1" applyBorder="1" applyAlignment="1">
      <alignment horizontal="left" vertical="center"/>
    </xf>
    <xf numFmtId="49" fontId="24" fillId="5" borderId="122" xfId="0" applyNumberFormat="1" applyFont="1" applyFill="1" applyBorder="1" applyAlignment="1">
      <alignment horizontal="left"/>
    </xf>
    <xf numFmtId="0" fontId="24" fillId="5" borderId="123" xfId="0" applyFont="1" applyFill="1" applyBorder="1" applyAlignment="1">
      <alignment horizontal="left"/>
    </xf>
    <xf numFmtId="0" fontId="24" fillId="5" borderId="124" xfId="0" applyFont="1" applyFill="1" applyBorder="1" applyAlignment="1">
      <alignment horizontal="left"/>
    </xf>
    <xf numFmtId="49" fontId="16" fillId="3" borderId="25" xfId="0" applyNumberFormat="1" applyFont="1" applyFill="1" applyBorder="1" applyAlignment="1">
      <alignment horizontal="center" vertical="center"/>
    </xf>
    <xf numFmtId="0" fontId="16" fillId="3" borderId="26" xfId="0" applyFont="1" applyFill="1" applyBorder="1" applyAlignment="1">
      <alignment horizontal="center" vertical="center"/>
    </xf>
    <xf numFmtId="49" fontId="10" fillId="2" borderId="25" xfId="0" applyNumberFormat="1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49" fontId="16" fillId="3" borderId="25" xfId="0" applyNumberFormat="1" applyFont="1" applyFill="1" applyBorder="1" applyAlignment="1">
      <alignment horizontal="center" vertical="center" wrapText="1"/>
    </xf>
    <xf numFmtId="0" fontId="16" fillId="3" borderId="26" xfId="0" applyFont="1" applyFill="1" applyBorder="1" applyAlignment="1">
      <alignment horizontal="center" vertical="center" wrapText="1"/>
    </xf>
    <xf numFmtId="0" fontId="16" fillId="3" borderId="67" xfId="0" applyFont="1" applyFill="1" applyBorder="1" applyAlignment="1">
      <alignment horizontal="center" vertical="center" wrapText="1"/>
    </xf>
    <xf numFmtId="49" fontId="10" fillId="2" borderId="81" xfId="0" applyNumberFormat="1" applyFont="1" applyFill="1" applyBorder="1" applyAlignment="1">
      <alignment horizontal="center" vertical="center"/>
    </xf>
    <xf numFmtId="49" fontId="10" fillId="2" borderId="115" xfId="0" applyNumberFormat="1" applyFont="1" applyFill="1" applyBorder="1" applyAlignment="1">
      <alignment horizontal="center" vertical="center"/>
    </xf>
    <xf numFmtId="49" fontId="10" fillId="2" borderId="120" xfId="0" applyNumberFormat="1" applyFont="1" applyFill="1" applyBorder="1" applyAlignment="1">
      <alignment horizontal="center" vertical="center"/>
    </xf>
    <xf numFmtId="49" fontId="16" fillId="0" borderId="54" xfId="0" applyNumberFormat="1" applyFont="1" applyBorder="1" applyAlignment="1">
      <alignment horizontal="center" wrapText="1"/>
    </xf>
    <xf numFmtId="0" fontId="16" fillId="3" borderId="59" xfId="0" applyFont="1" applyFill="1" applyBorder="1" applyAlignment="1">
      <alignment horizontal="center" vertical="center" wrapText="1"/>
    </xf>
    <xf numFmtId="49" fontId="16" fillId="0" borderId="55" xfId="0" applyNumberFormat="1" applyFont="1" applyBorder="1" applyAlignment="1">
      <alignment horizontal="center" wrapText="1"/>
    </xf>
    <xf numFmtId="0" fontId="16" fillId="3" borderId="60" xfId="0" applyFont="1" applyFill="1" applyBorder="1" applyAlignment="1">
      <alignment horizontal="center" vertical="center" wrapText="1"/>
    </xf>
    <xf numFmtId="0" fontId="0" fillId="0" borderId="29" xfId="0" applyNumberFormat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6" borderId="29" xfId="0" applyNumberFormat="1" applyFill="1" applyBorder="1" applyAlignment="1">
      <alignment horizontal="center" vertical="center" wrapText="1"/>
    </xf>
    <xf numFmtId="0" fontId="0" fillId="6" borderId="30" xfId="0" applyFill="1" applyBorder="1" applyAlignment="1">
      <alignment horizontal="center" vertical="center" wrapText="1"/>
    </xf>
    <xf numFmtId="49" fontId="0" fillId="3" borderId="25" xfId="0" applyNumberFormat="1" applyFill="1" applyBorder="1" applyAlignment="1">
      <alignment vertical="center"/>
    </xf>
    <xf numFmtId="0" fontId="0" fillId="3" borderId="26" xfId="0" applyFill="1" applyBorder="1" applyAlignment="1">
      <alignment vertical="center"/>
    </xf>
    <xf numFmtId="1" fontId="18" fillId="2" borderId="29" xfId="0" applyNumberFormat="1" applyFont="1" applyFill="1" applyBorder="1" applyAlignment="1">
      <alignment horizontal="center" vertical="center" wrapText="1"/>
    </xf>
    <xf numFmtId="1" fontId="18" fillId="2" borderId="30" xfId="0" applyNumberFormat="1" applyFont="1" applyFill="1" applyBorder="1" applyAlignment="1">
      <alignment horizontal="center" vertical="center" wrapText="1"/>
    </xf>
    <xf numFmtId="0" fontId="0" fillId="6" borderId="29" xfId="0" applyNumberFormat="1" applyFill="1" applyBorder="1" applyAlignment="1">
      <alignment vertical="center" wrapText="1"/>
    </xf>
    <xf numFmtId="0" fontId="0" fillId="6" borderId="30" xfId="0" applyFill="1" applyBorder="1" applyAlignment="1">
      <alignment vertical="center" wrapText="1"/>
    </xf>
    <xf numFmtId="49" fontId="16" fillId="0" borderId="30" xfId="0" applyNumberFormat="1" applyFont="1" applyBorder="1" applyAlignment="1">
      <alignment horizontal="center" wrapText="1"/>
    </xf>
    <xf numFmtId="0" fontId="16" fillId="3" borderId="32" xfId="0" applyFont="1" applyFill="1" applyBorder="1" applyAlignment="1">
      <alignment horizontal="center" vertical="center" wrapText="1"/>
    </xf>
    <xf numFmtId="0" fontId="0" fillId="0" borderId="57" xfId="0" applyNumberFormat="1" applyBorder="1" applyAlignment="1">
      <alignment horizontal="center"/>
    </xf>
    <xf numFmtId="0" fontId="0" fillId="0" borderId="58" xfId="0" applyBorder="1" applyAlignment="1">
      <alignment horizontal="center"/>
    </xf>
    <xf numFmtId="1" fontId="18" fillId="2" borderId="57" xfId="0" applyNumberFormat="1" applyFont="1" applyFill="1" applyBorder="1" applyAlignment="1">
      <alignment horizontal="center" vertical="center" wrapText="1"/>
    </xf>
    <xf numFmtId="1" fontId="18" fillId="2" borderId="58" xfId="0" applyNumberFormat="1" applyFont="1" applyFill="1" applyBorder="1" applyAlignment="1">
      <alignment horizontal="center" vertical="center" wrapText="1"/>
    </xf>
    <xf numFmtId="0" fontId="0" fillId="6" borderId="68" xfId="0" applyFill="1" applyBorder="1" applyAlignment="1">
      <alignment vertical="center" wrapText="1"/>
    </xf>
    <xf numFmtId="49" fontId="0" fillId="3" borderId="126" xfId="0" applyNumberFormat="1" applyFill="1" applyBorder="1" applyAlignment="1">
      <alignment vertical="center"/>
    </xf>
    <xf numFmtId="1" fontId="0" fillId="3" borderId="54" xfId="0" applyNumberFormat="1" applyFill="1" applyBorder="1" applyAlignment="1">
      <alignment horizontal="center" vertical="center"/>
    </xf>
    <xf numFmtId="1" fontId="0" fillId="3" borderId="103" xfId="0" applyNumberFormat="1" applyFill="1" applyBorder="1" applyAlignment="1">
      <alignment horizontal="center" vertical="center"/>
    </xf>
    <xf numFmtId="1" fontId="0" fillId="3" borderId="62" xfId="0" applyNumberFormat="1" applyFill="1" applyBorder="1" applyAlignment="1">
      <alignment horizontal="center" vertical="center"/>
    </xf>
    <xf numFmtId="1" fontId="0" fillId="3" borderId="59" xfId="0" applyNumberFormat="1" applyFill="1" applyBorder="1" applyAlignment="1">
      <alignment horizontal="center" vertical="center"/>
    </xf>
    <xf numFmtId="1" fontId="1" fillId="3" borderId="29" xfId="0" applyNumberFormat="1" applyFont="1" applyFill="1" applyBorder="1" applyAlignment="1">
      <alignment horizontal="center" vertical="center"/>
    </xf>
    <xf numFmtId="1" fontId="1" fillId="3" borderId="77" xfId="0" applyNumberFormat="1" applyFont="1" applyFill="1" applyBorder="1" applyAlignment="1">
      <alignment horizontal="center" vertical="center"/>
    </xf>
    <xf numFmtId="1" fontId="1" fillId="3" borderId="79" xfId="0" applyNumberFormat="1" applyFont="1" applyFill="1" applyBorder="1" applyAlignment="1">
      <alignment horizontal="center" vertical="center"/>
    </xf>
    <xf numFmtId="1" fontId="1" fillId="3" borderId="80" xfId="0" applyNumberFormat="1" applyFont="1" applyFill="1" applyBorder="1" applyAlignment="1">
      <alignment horizontal="center" vertical="center"/>
    </xf>
    <xf numFmtId="1" fontId="0" fillId="3" borderId="99" xfId="0" applyNumberFormat="1" applyFill="1" applyBorder="1" applyAlignment="1">
      <alignment horizontal="center" vertical="center"/>
    </xf>
    <xf numFmtId="1" fontId="1" fillId="3" borderId="85" xfId="0" applyNumberFormat="1" applyFont="1" applyFill="1" applyBorder="1" applyAlignment="1">
      <alignment horizontal="center" vertical="center"/>
    </xf>
    <xf numFmtId="1" fontId="1" fillId="3" borderId="87" xfId="0" applyNumberFormat="1" applyFont="1" applyFill="1" applyBorder="1" applyAlignment="1">
      <alignment horizontal="center" vertical="center"/>
    </xf>
    <xf numFmtId="1" fontId="1" fillId="3" borderId="94" xfId="0" applyNumberFormat="1" applyFont="1" applyFill="1" applyBorder="1" applyAlignment="1">
      <alignment horizontal="center" vertical="center"/>
    </xf>
    <xf numFmtId="1" fontId="1" fillId="3" borderId="86" xfId="0" applyNumberFormat="1" applyFont="1" applyFill="1" applyBorder="1" applyAlignment="1">
      <alignment horizontal="center" vertical="center"/>
    </xf>
    <xf numFmtId="1" fontId="1" fillId="3" borderId="88" xfId="0" applyNumberFormat="1" applyFont="1" applyFill="1" applyBorder="1" applyAlignment="1">
      <alignment horizontal="center" vertical="center"/>
    </xf>
    <xf numFmtId="1" fontId="1" fillId="3" borderId="92" xfId="0" applyNumberFormat="1" applyFont="1" applyFill="1" applyBorder="1" applyAlignment="1">
      <alignment horizontal="center" vertical="center"/>
    </xf>
    <xf numFmtId="0" fontId="0" fillId="3" borderId="99" xfId="0" applyFill="1" applyBorder="1" applyAlignment="1">
      <alignment horizontal="center" vertical="center"/>
    </xf>
    <xf numFmtId="1" fontId="1" fillId="3" borderId="5" xfId="0" applyNumberFormat="1" applyFont="1" applyFill="1" applyBorder="1" applyAlignment="1">
      <alignment horizontal="center" vertical="center"/>
    </xf>
    <xf numFmtId="1" fontId="0" fillId="3" borderId="93" xfId="0" applyNumberFormat="1" applyFill="1" applyBorder="1" applyAlignment="1">
      <alignment horizontal="center" vertical="center"/>
    </xf>
    <xf numFmtId="49" fontId="40" fillId="3" borderId="5" xfId="0" applyNumberFormat="1" applyFont="1" applyFill="1" applyBorder="1" applyAlignment="1">
      <alignment horizontal="center" vertical="center" wrapText="1"/>
    </xf>
    <xf numFmtId="49" fontId="2" fillId="13" borderId="1" xfId="0" applyNumberFormat="1" applyFont="1" applyFill="1" applyBorder="1" applyAlignment="1">
      <alignment horizontal="center"/>
    </xf>
    <xf numFmtId="0" fontId="2" fillId="13" borderId="2" xfId="0" applyFont="1" applyFill="1" applyBorder="1" applyAlignment="1">
      <alignment horizontal="center"/>
    </xf>
    <xf numFmtId="49" fontId="3" fillId="13" borderId="2" xfId="0" applyNumberFormat="1" applyFont="1" applyFill="1" applyBorder="1" applyAlignment="1">
      <alignment horizontal="center"/>
    </xf>
    <xf numFmtId="0" fontId="3" fillId="13" borderId="2" xfId="0" applyFont="1" applyFill="1" applyBorder="1" applyAlignment="1">
      <alignment horizontal="center"/>
    </xf>
    <xf numFmtId="0" fontId="3" fillId="13" borderId="3" xfId="0" applyFont="1" applyFill="1" applyBorder="1" applyAlignment="1">
      <alignment horizontal="center"/>
    </xf>
    <xf numFmtId="49" fontId="2" fillId="13" borderId="41" xfId="0" applyNumberFormat="1" applyFont="1" applyFill="1" applyBorder="1" applyAlignment="1">
      <alignment horizontal="center"/>
    </xf>
    <xf numFmtId="0" fontId="2" fillId="13" borderId="42" xfId="0" applyFont="1" applyFill="1" applyBorder="1" applyAlignment="1">
      <alignment horizontal="center"/>
    </xf>
    <xf numFmtId="49" fontId="18" fillId="13" borderId="47" xfId="0" applyNumberFormat="1" applyFont="1" applyFill="1" applyBorder="1" applyAlignment="1">
      <alignment horizontal="left" vertical="center"/>
    </xf>
    <xf numFmtId="0" fontId="18" fillId="13" borderId="5" xfId="0" applyFont="1" applyFill="1" applyBorder="1" applyAlignment="1">
      <alignment horizontal="left" vertical="center"/>
    </xf>
  </cellXfs>
  <cellStyles count="167"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" xfId="33" builtinId="8" hidden="1"/>
    <cellStyle name="Lien hypertexte" xfId="35" builtinId="8" hidden="1"/>
    <cellStyle name="Lien hypertexte" xfId="37" builtinId="8" hidden="1"/>
    <cellStyle name="Lien hypertexte" xfId="39" builtinId="8" hidden="1"/>
    <cellStyle name="Lien hypertexte" xfId="41" builtinId="8" hidden="1"/>
    <cellStyle name="Lien hypertexte" xfId="43" builtinId="8" hidden="1"/>
    <cellStyle name="Lien hypertexte" xfId="45" builtinId="8" hidden="1"/>
    <cellStyle name="Lien hypertexte" xfId="47" builtinId="8" hidden="1"/>
    <cellStyle name="Lien hypertexte" xfId="49" builtinId="8" hidden="1"/>
    <cellStyle name="Lien hypertexte" xfId="51" builtinId="8" hidden="1"/>
    <cellStyle name="Lien hypertexte" xfId="53" builtinId="8" hidden="1"/>
    <cellStyle name="Lien hypertexte" xfId="55" builtinId="8" hidden="1"/>
    <cellStyle name="Lien hypertexte" xfId="57" builtinId="8" hidden="1"/>
    <cellStyle name="Lien hypertexte" xfId="59" builtinId="8" hidden="1"/>
    <cellStyle name="Lien hypertexte" xfId="61" builtinId="8" hidden="1"/>
    <cellStyle name="Lien hypertexte" xfId="63" builtinId="8" hidden="1"/>
    <cellStyle name="Lien hypertexte" xfId="65" builtinId="8" hidden="1"/>
    <cellStyle name="Lien hypertexte" xfId="67" builtinId="8" hidden="1"/>
    <cellStyle name="Lien hypertexte" xfId="69" builtinId="8" hidden="1"/>
    <cellStyle name="Lien hypertexte" xfId="71" builtinId="8" hidden="1"/>
    <cellStyle name="Lien hypertexte" xfId="73" builtinId="8" hidden="1"/>
    <cellStyle name="Lien hypertexte" xfId="75" builtinId="8" hidden="1"/>
    <cellStyle name="Lien hypertexte" xfId="77" builtinId="8" hidden="1"/>
    <cellStyle name="Lien hypertexte" xfId="79" builtinId="8" hidden="1"/>
    <cellStyle name="Lien hypertexte" xfId="81" builtinId="8" hidden="1"/>
    <cellStyle name="Lien hypertexte" xfId="83" builtinId="8" hidden="1"/>
    <cellStyle name="Lien hypertexte" xfId="85" builtinId="8" hidden="1"/>
    <cellStyle name="Lien hypertexte" xfId="87" builtinId="8" hidden="1"/>
    <cellStyle name="Lien hypertexte" xfId="89" builtinId="8" hidden="1"/>
    <cellStyle name="Lien hypertexte" xfId="91" builtinId="8" hidden="1"/>
    <cellStyle name="Lien hypertexte" xfId="93" builtinId="8" hidden="1"/>
    <cellStyle name="Lien hypertexte" xfId="95" builtinId="8" hidden="1"/>
    <cellStyle name="Lien hypertexte" xfId="97" builtinId="8" hidden="1"/>
    <cellStyle name="Lien hypertexte" xfId="99" builtinId="8" hidden="1"/>
    <cellStyle name="Lien hypertexte" xfId="101" builtinId="8" hidden="1"/>
    <cellStyle name="Lien hypertexte" xfId="103" builtinId="8" hidden="1"/>
    <cellStyle name="Lien hypertexte" xfId="105" builtinId="8" hidden="1"/>
    <cellStyle name="Lien hypertexte" xfId="107" builtinId="8" hidden="1"/>
    <cellStyle name="Lien hypertexte" xfId="109" builtinId="8" hidden="1"/>
    <cellStyle name="Lien hypertexte" xfId="111" builtinId="8" hidden="1"/>
    <cellStyle name="Lien hypertexte" xfId="113" builtinId="8" hidden="1"/>
    <cellStyle name="Lien hypertexte" xfId="115" builtinId="8" hidden="1"/>
    <cellStyle name="Lien hypertexte" xfId="117" builtinId="8" hidden="1"/>
    <cellStyle name="Lien hypertexte" xfId="119" builtinId="8" hidden="1"/>
    <cellStyle name="Lien hypertexte" xfId="121" builtinId="8" hidden="1"/>
    <cellStyle name="Lien hypertexte" xfId="123" builtinId="8" hidden="1"/>
    <cellStyle name="Lien hypertexte" xfId="125" builtinId="8" hidden="1"/>
    <cellStyle name="Lien hypertexte" xfId="127" builtinId="8" hidden="1"/>
    <cellStyle name="Lien hypertexte" xfId="129" builtinId="8" hidden="1"/>
    <cellStyle name="Lien hypertexte" xfId="131" builtinId="8" hidden="1"/>
    <cellStyle name="Lien hypertexte" xfId="133" builtinId="8" hidden="1"/>
    <cellStyle name="Lien hypertexte" xfId="135" builtinId="8" hidden="1"/>
    <cellStyle name="Lien hypertexte" xfId="137" builtinId="8" hidden="1"/>
    <cellStyle name="Lien hypertexte" xfId="139" builtinId="8" hidden="1"/>
    <cellStyle name="Lien hypertexte" xfId="141" builtinId="8" hidden="1"/>
    <cellStyle name="Lien hypertexte" xfId="143" builtinId="8" hidden="1"/>
    <cellStyle name="Lien hypertexte" xfId="145" builtinId="8" hidden="1"/>
    <cellStyle name="Lien hypertexte" xfId="147" builtinId="8" hidden="1"/>
    <cellStyle name="Lien hypertexte" xfId="149" builtinId="8" hidden="1"/>
    <cellStyle name="Lien hypertexte" xfId="151" builtinId="8" hidden="1"/>
    <cellStyle name="Lien hypertexte" xfId="153" builtinId="8" hidden="1"/>
    <cellStyle name="Lien hypertexte" xfId="155" builtinId="8" hidden="1"/>
    <cellStyle name="Lien hypertexte" xfId="157" builtinId="8" hidden="1"/>
    <cellStyle name="Lien hypertexte" xfId="159" builtinId="8" hidden="1"/>
    <cellStyle name="Lien hypertexte" xfId="161" builtinId="8" hidden="1"/>
    <cellStyle name="Lien hypertexte" xfId="163" builtinId="8" hidden="1"/>
    <cellStyle name="Lien hypertexte" xfId="165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Lien hypertexte visité" xfId="34" builtinId="9" hidden="1"/>
    <cellStyle name="Lien hypertexte visité" xfId="36" builtinId="9" hidden="1"/>
    <cellStyle name="Lien hypertexte visité" xfId="38" builtinId="9" hidden="1"/>
    <cellStyle name="Lien hypertexte visité" xfId="40" builtinId="9" hidden="1"/>
    <cellStyle name="Lien hypertexte visité" xfId="42" builtinId="9" hidden="1"/>
    <cellStyle name="Lien hypertexte visité" xfId="44" builtinId="9" hidden="1"/>
    <cellStyle name="Lien hypertexte visité" xfId="46" builtinId="9" hidden="1"/>
    <cellStyle name="Lien hypertexte visité" xfId="48" builtinId="9" hidden="1"/>
    <cellStyle name="Lien hypertexte visité" xfId="50" builtinId="9" hidden="1"/>
    <cellStyle name="Lien hypertexte visité" xfId="52" builtinId="9" hidden="1"/>
    <cellStyle name="Lien hypertexte visité" xfId="54" builtinId="9" hidden="1"/>
    <cellStyle name="Lien hypertexte visité" xfId="56" builtinId="9" hidden="1"/>
    <cellStyle name="Lien hypertexte visité" xfId="58" builtinId="9" hidden="1"/>
    <cellStyle name="Lien hypertexte visité" xfId="60" builtinId="9" hidden="1"/>
    <cellStyle name="Lien hypertexte visité" xfId="62" builtinId="9" hidden="1"/>
    <cellStyle name="Lien hypertexte visité" xfId="64" builtinId="9" hidden="1"/>
    <cellStyle name="Lien hypertexte visité" xfId="66" builtinId="9" hidden="1"/>
    <cellStyle name="Lien hypertexte visité" xfId="68" builtinId="9" hidden="1"/>
    <cellStyle name="Lien hypertexte visité" xfId="70" builtinId="9" hidden="1"/>
    <cellStyle name="Lien hypertexte visité" xfId="72" builtinId="9" hidden="1"/>
    <cellStyle name="Lien hypertexte visité" xfId="74" builtinId="9" hidden="1"/>
    <cellStyle name="Lien hypertexte visité" xfId="76" builtinId="9" hidden="1"/>
    <cellStyle name="Lien hypertexte visité" xfId="78" builtinId="9" hidden="1"/>
    <cellStyle name="Lien hypertexte visité" xfId="80" builtinId="9" hidden="1"/>
    <cellStyle name="Lien hypertexte visité" xfId="82" builtinId="9" hidden="1"/>
    <cellStyle name="Lien hypertexte visité" xfId="84" builtinId="9" hidden="1"/>
    <cellStyle name="Lien hypertexte visité" xfId="86" builtinId="9" hidden="1"/>
    <cellStyle name="Lien hypertexte visité" xfId="88" builtinId="9" hidden="1"/>
    <cellStyle name="Lien hypertexte visité" xfId="90" builtinId="9" hidden="1"/>
    <cellStyle name="Lien hypertexte visité" xfId="92" builtinId="9" hidden="1"/>
    <cellStyle name="Lien hypertexte visité" xfId="94" builtinId="9" hidden="1"/>
    <cellStyle name="Lien hypertexte visité" xfId="96" builtinId="9" hidden="1"/>
    <cellStyle name="Lien hypertexte visité" xfId="98" builtinId="9" hidden="1"/>
    <cellStyle name="Lien hypertexte visité" xfId="100" builtinId="9" hidden="1"/>
    <cellStyle name="Lien hypertexte visité" xfId="102" builtinId="9" hidden="1"/>
    <cellStyle name="Lien hypertexte visité" xfId="104" builtinId="9" hidden="1"/>
    <cellStyle name="Lien hypertexte visité" xfId="106" builtinId="9" hidden="1"/>
    <cellStyle name="Lien hypertexte visité" xfId="108" builtinId="9" hidden="1"/>
    <cellStyle name="Lien hypertexte visité" xfId="110" builtinId="9" hidden="1"/>
    <cellStyle name="Lien hypertexte visité" xfId="112" builtinId="9" hidden="1"/>
    <cellStyle name="Lien hypertexte visité" xfId="114" builtinId="9" hidden="1"/>
    <cellStyle name="Lien hypertexte visité" xfId="116" builtinId="9" hidden="1"/>
    <cellStyle name="Lien hypertexte visité" xfId="118" builtinId="9" hidden="1"/>
    <cellStyle name="Lien hypertexte visité" xfId="120" builtinId="9" hidden="1"/>
    <cellStyle name="Lien hypertexte visité" xfId="122" builtinId="9" hidden="1"/>
    <cellStyle name="Lien hypertexte visité" xfId="124" builtinId="9" hidden="1"/>
    <cellStyle name="Lien hypertexte visité" xfId="126" builtinId="9" hidden="1"/>
    <cellStyle name="Lien hypertexte visité" xfId="128" builtinId="9" hidden="1"/>
    <cellStyle name="Lien hypertexte visité" xfId="130" builtinId="9" hidden="1"/>
    <cellStyle name="Lien hypertexte visité" xfId="132" builtinId="9" hidden="1"/>
    <cellStyle name="Lien hypertexte visité" xfId="134" builtinId="9" hidden="1"/>
    <cellStyle name="Lien hypertexte visité" xfId="136" builtinId="9" hidden="1"/>
    <cellStyle name="Lien hypertexte visité" xfId="138" builtinId="9" hidden="1"/>
    <cellStyle name="Lien hypertexte visité" xfId="140" builtinId="9" hidden="1"/>
    <cellStyle name="Lien hypertexte visité" xfId="142" builtinId="9" hidden="1"/>
    <cellStyle name="Lien hypertexte visité" xfId="144" builtinId="9" hidden="1"/>
    <cellStyle name="Lien hypertexte visité" xfId="146" builtinId="9" hidden="1"/>
    <cellStyle name="Lien hypertexte visité" xfId="148" builtinId="9" hidden="1"/>
    <cellStyle name="Lien hypertexte visité" xfId="150" builtinId="9" hidden="1"/>
    <cellStyle name="Lien hypertexte visité" xfId="152" builtinId="9" hidden="1"/>
    <cellStyle name="Lien hypertexte visité" xfId="154" builtinId="9" hidden="1"/>
    <cellStyle name="Lien hypertexte visité" xfId="156" builtinId="9" hidden="1"/>
    <cellStyle name="Lien hypertexte visité" xfId="158" builtinId="9" hidden="1"/>
    <cellStyle name="Lien hypertexte visité" xfId="160" builtinId="9" hidden="1"/>
    <cellStyle name="Lien hypertexte visité" xfId="162" builtinId="9" hidden="1"/>
    <cellStyle name="Lien hypertexte visité" xfId="164" builtinId="9" hidden="1"/>
    <cellStyle name="Lien hypertexte visité" xfId="166" builtinId="9" hidden="1"/>
    <cellStyle name="Normal" xfId="0" builtinId="0"/>
    <cellStyle name="Normal 2" xfId="1" xr:uid="{00000000-0005-0000-0000-0000A6000000}"/>
  </cellStyles>
  <dxfs count="16">
    <dxf>
      <font>
        <color rgb="FF9C0006"/>
      </font>
      <fill>
        <patternFill patternType="solid">
          <fgColor indexed="19"/>
          <bgColor indexed="20"/>
        </patternFill>
      </fill>
    </dxf>
    <dxf>
      <font>
        <color rgb="FF9C0006"/>
      </font>
      <fill>
        <patternFill patternType="solid">
          <fgColor indexed="19"/>
          <bgColor indexed="2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fgColor indexed="19"/>
          <bgColor indexed="24"/>
        </patternFill>
      </fill>
    </dxf>
    <dxf>
      <font>
        <color rgb="FF9C0006"/>
      </font>
      <fill>
        <patternFill patternType="solid">
          <fgColor indexed="19"/>
          <bgColor indexed="20"/>
        </patternFill>
      </fill>
    </dxf>
    <dxf>
      <font>
        <color rgb="FF9C0006"/>
      </font>
      <fill>
        <patternFill patternType="solid">
          <fgColor indexed="19"/>
          <bgColor indexed="2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indexed="19"/>
          <bgColor indexed="20"/>
        </patternFill>
      </fill>
    </dxf>
    <dxf>
      <font>
        <color rgb="FF9C0006"/>
      </font>
      <fill>
        <patternFill patternType="solid">
          <fgColor indexed="19"/>
          <bgColor indexed="2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fgColor indexed="19"/>
          <bgColor indexed="24"/>
        </patternFill>
      </fill>
    </dxf>
    <dxf>
      <font>
        <color rgb="FF9C0006"/>
      </font>
      <fill>
        <patternFill patternType="solid">
          <fgColor indexed="19"/>
          <bgColor indexed="20"/>
        </patternFill>
      </fill>
    </dxf>
    <dxf>
      <font>
        <color rgb="FF9C0006"/>
      </font>
      <fill>
        <patternFill patternType="solid">
          <fgColor indexed="19"/>
          <bgColor indexed="2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PivotStyle="PivotStyleMedium4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E88B1"/>
      <rgbColor rgb="FFEEF3F4"/>
      <rgbColor rgb="FF0000FF"/>
      <rgbColor rgb="FFFFFFFF"/>
      <rgbColor rgb="FFAA98A5"/>
      <rgbColor rgb="FF0070C0"/>
      <rgbColor rgb="FFCC9900"/>
      <rgbColor rgb="FFFF0000"/>
      <rgbColor rgb="FFED7D31"/>
      <rgbColor rgb="FFFFCF3F"/>
      <rgbColor rgb="00000000"/>
      <rgbColor rgb="FFFFC7CE"/>
      <rgbColor rgb="FF9C0006"/>
      <rgbColor rgb="FFB15D24"/>
      <rgbColor rgb="FFFFAFAF"/>
      <rgbColor rgb="FFFF9999"/>
      <rgbColor rgb="FF7030A0"/>
      <rgbColor rgb="FF8EAADB"/>
      <rgbColor rgb="FFFF6600"/>
      <rgbColor rgb="FFFFC000"/>
      <rgbColor rgb="FFAAAAAA"/>
      <rgbColor rgb="FFC00000"/>
      <rgbColor rgb="FF92D050"/>
      <rgbColor rgb="FF00B0F0"/>
      <rgbColor rgb="FFA5A5A5"/>
      <rgbColor rgb="FF7F7F7F"/>
      <rgbColor rgb="FF00B050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0</xdr:row>
      <xdr:rowOff>0</xdr:rowOff>
    </xdr:from>
    <xdr:to>
      <xdr:col>4</xdr:col>
      <xdr:colOff>647700</xdr:colOff>
      <xdr:row>3</xdr:row>
      <xdr:rowOff>79375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27400" y="0"/>
          <a:ext cx="2082800" cy="1171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266700</xdr:colOff>
      <xdr:row>0</xdr:row>
      <xdr:rowOff>1</xdr:rowOff>
    </xdr:from>
    <xdr:to>
      <xdr:col>4</xdr:col>
      <xdr:colOff>612420</xdr:colOff>
      <xdr:row>3</xdr:row>
      <xdr:rowOff>38100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65500" y="1"/>
          <a:ext cx="2009420" cy="113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Thèm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Thèm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hèm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showGridLines="0" tabSelected="1" workbookViewId="0">
      <selection activeCell="A6" sqref="A6"/>
    </sheetView>
  </sheetViews>
  <sheetFormatPr baseColWidth="10" defaultColWidth="10.85546875" defaultRowHeight="15" customHeight="1"/>
  <cols>
    <col min="1" max="1" width="20.140625" style="1" customWidth="1"/>
    <col min="2" max="2" width="20.42578125" style="1" customWidth="1"/>
    <col min="3" max="3" width="20.28515625" style="1" customWidth="1"/>
    <col min="4" max="4" width="1.42578125" style="1" customWidth="1"/>
    <col min="5" max="5" width="18.7109375" style="1" customWidth="1"/>
    <col min="6" max="6" width="2.28515625" style="1" customWidth="1"/>
    <col min="7" max="10" width="19.42578125" style="1" customWidth="1"/>
    <col min="11" max="11" width="5.28515625" style="1" customWidth="1"/>
    <col min="12" max="12" width="10.85546875" style="1" customWidth="1"/>
    <col min="13" max="16384" width="10.85546875" style="1"/>
  </cols>
  <sheetData>
    <row r="1" spans="1:11" ht="36" customHeight="1">
      <c r="A1" s="160" t="s">
        <v>36</v>
      </c>
      <c r="B1" s="161"/>
      <c r="C1" s="2"/>
      <c r="D1" s="3"/>
      <c r="E1" s="2"/>
      <c r="F1" s="162" t="s">
        <v>37</v>
      </c>
      <c r="G1" s="163"/>
      <c r="H1" s="163"/>
      <c r="I1" s="163"/>
      <c r="J1" s="163"/>
      <c r="K1" s="164"/>
    </row>
    <row r="2" spans="1:11" ht="15.75" customHeight="1" thickBot="1">
      <c r="A2" s="4"/>
      <c r="B2" s="5"/>
      <c r="C2" s="5"/>
      <c r="D2" s="5"/>
      <c r="E2" s="5"/>
      <c r="F2" s="5"/>
      <c r="G2" s="6"/>
      <c r="H2" s="6"/>
      <c r="I2" s="6"/>
      <c r="J2" s="6"/>
      <c r="K2" s="7"/>
    </row>
    <row r="3" spans="1:11" ht="35.25" customHeight="1">
      <c r="A3" s="165" t="s">
        <v>0</v>
      </c>
      <c r="B3" s="166"/>
      <c r="C3" s="166"/>
      <c r="D3" s="8"/>
      <c r="E3" s="5"/>
      <c r="F3" s="9"/>
      <c r="G3" s="167" t="s">
        <v>61</v>
      </c>
      <c r="H3" s="168"/>
      <c r="I3" s="168"/>
      <c r="J3" s="169"/>
      <c r="K3" s="10"/>
    </row>
    <row r="4" spans="1:11" ht="15" customHeight="1">
      <c r="A4" s="11"/>
      <c r="B4" s="12"/>
      <c r="C4" s="12"/>
      <c r="D4" s="5"/>
      <c r="E4" s="12"/>
      <c r="F4" s="9"/>
      <c r="G4" s="170"/>
      <c r="H4" s="171"/>
      <c r="I4" s="171"/>
      <c r="J4" s="172"/>
      <c r="K4" s="10"/>
    </row>
    <row r="5" spans="1:11" ht="25.5" customHeight="1">
      <c r="A5" s="83" t="s">
        <v>1</v>
      </c>
      <c r="B5" s="83" t="s">
        <v>2</v>
      </c>
      <c r="C5" s="84" t="s">
        <v>3</v>
      </c>
      <c r="D5" s="13"/>
      <c r="E5" s="122" t="s">
        <v>4</v>
      </c>
      <c r="F5" s="14"/>
      <c r="G5" s="170"/>
      <c r="H5" s="171"/>
      <c r="I5" s="171"/>
      <c r="J5" s="172"/>
      <c r="K5" s="10"/>
    </row>
    <row r="6" spans="1:11" ht="24" customHeight="1" thickBot="1">
      <c r="A6" s="105">
        <v>0</v>
      </c>
      <c r="B6" s="105">
        <v>1013</v>
      </c>
      <c r="C6" s="85">
        <f>((1013-B6)*(IF(A6&lt;3000,28,30))+A6)</f>
        <v>0</v>
      </c>
      <c r="D6" s="15"/>
      <c r="E6" s="105">
        <v>1150</v>
      </c>
      <c r="F6" s="14"/>
      <c r="G6" s="173"/>
      <c r="H6" s="174"/>
      <c r="I6" s="174"/>
      <c r="J6" s="175"/>
      <c r="K6" s="10"/>
    </row>
    <row r="7" spans="1:11" ht="28.5" customHeight="1">
      <c r="A7" s="16"/>
      <c r="B7" s="17"/>
      <c r="C7" s="18" t="str">
        <f>IF(C6&gt;8000,"Dépassement altitude ! (Max=8000ft)","zp max = 8000ftSi&lt;0 : calcul fait avec 0ft")</f>
        <v>zp max = 8000ftSi&lt;0 : calcul fait avec 0ft</v>
      </c>
      <c r="D7" s="19"/>
      <c r="E7" s="157" t="str">
        <f>IF(E6&lt;=1158,"Maxi T/O 1158 Kg   Maxi LND  1158 Kg","Masse maxi dépassée")</f>
        <v>Maxi T/O 1158 Kg   Maxi LND  1158 Kg</v>
      </c>
      <c r="F7" s="5"/>
      <c r="G7" s="180" t="s">
        <v>51</v>
      </c>
      <c r="H7" s="180"/>
      <c r="I7" s="181" t="s">
        <v>52</v>
      </c>
      <c r="J7" s="182"/>
      <c r="K7" s="7"/>
    </row>
    <row r="8" spans="1:11" ht="17.25" customHeight="1">
      <c r="A8" s="86" t="s">
        <v>5</v>
      </c>
      <c r="B8" s="87" t="s">
        <v>6</v>
      </c>
      <c r="C8" s="87" t="s">
        <v>35</v>
      </c>
      <c r="D8" s="123"/>
      <c r="E8" s="176"/>
      <c r="F8" s="5"/>
      <c r="G8" s="183" t="s">
        <v>58</v>
      </c>
      <c r="H8" s="184"/>
      <c r="I8" s="185" t="s">
        <v>55</v>
      </c>
      <c r="J8" s="186"/>
      <c r="K8" s="7"/>
    </row>
    <row r="9" spans="1:11" ht="31.5" customHeight="1" thickBot="1">
      <c r="A9" s="105">
        <v>10</v>
      </c>
      <c r="B9" s="88">
        <f>15+(($C$6/1000)*(-2))</f>
        <v>15</v>
      </c>
      <c r="C9" s="88">
        <f>A9-B9</f>
        <v>-5</v>
      </c>
      <c r="D9" s="81"/>
      <c r="E9" s="177"/>
      <c r="F9" s="5"/>
      <c r="G9" s="178" t="s">
        <v>59</v>
      </c>
      <c r="H9" s="179"/>
      <c r="I9" s="178" t="s">
        <v>60</v>
      </c>
      <c r="J9" s="179"/>
      <c r="K9" s="7"/>
    </row>
    <row r="10" spans="1:11" ht="16.5" customHeight="1">
      <c r="A10" s="20"/>
      <c r="B10" s="21"/>
      <c r="C10" s="21"/>
      <c r="D10" s="5"/>
      <c r="E10" s="12"/>
      <c r="F10" s="22"/>
      <c r="G10" s="187" t="s">
        <v>7</v>
      </c>
      <c r="H10" s="188"/>
      <c r="I10" s="187" t="s">
        <v>8</v>
      </c>
      <c r="J10" s="188"/>
      <c r="K10" s="23"/>
    </row>
    <row r="11" spans="1:11" ht="45" customHeight="1">
      <c r="A11" s="86" t="s">
        <v>33</v>
      </c>
      <c r="B11" s="86" t="s">
        <v>70</v>
      </c>
      <c r="C11" s="86" t="s">
        <v>34</v>
      </c>
      <c r="D11" s="13"/>
      <c r="E11" s="194" t="s">
        <v>9</v>
      </c>
      <c r="F11" s="24"/>
      <c r="G11" s="25" t="s">
        <v>10</v>
      </c>
      <c r="H11" s="26" t="s">
        <v>11</v>
      </c>
      <c r="I11" s="25" t="s">
        <v>10</v>
      </c>
      <c r="J11" s="26" t="s">
        <v>12</v>
      </c>
      <c r="K11" s="23"/>
    </row>
    <row r="12" spans="1:11" ht="36.75" customHeight="1" thickBot="1">
      <c r="A12" s="106" t="s">
        <v>13</v>
      </c>
      <c r="B12" s="107">
        <v>0</v>
      </c>
      <c r="C12" s="106" t="s">
        <v>45</v>
      </c>
      <c r="D12" s="13"/>
      <c r="E12" s="195"/>
      <c r="F12" s="24"/>
      <c r="G12" s="27">
        <f>IFERROR('Calculs C172S'!AE10,"ALT or TEMP out of range!")</f>
        <v>277.52941176470586</v>
      </c>
      <c r="H12" s="28">
        <f>IFERROR('Calculs C172S'!AF10,"ALT or TEMP out of range!")</f>
        <v>472.70588235294116</v>
      </c>
      <c r="I12" s="27">
        <f>IFERROR('Calculs C172S'!AG10,"ALT or TEMP out of range!")</f>
        <v>172</v>
      </c>
      <c r="J12" s="28">
        <f>IFERROR('Calculs C172S'!AH10,"ALT or TEMP out of range!")</f>
        <v>402</v>
      </c>
      <c r="K12" s="23"/>
    </row>
    <row r="13" spans="1:11" ht="28.5" customHeight="1" thickBot="1">
      <c r="A13" s="29"/>
      <c r="B13" s="30"/>
      <c r="C13" s="31" t="s">
        <v>14</v>
      </c>
      <c r="D13" s="5"/>
      <c r="E13" s="32"/>
      <c r="F13" s="5"/>
      <c r="G13" s="189" t="s">
        <v>63</v>
      </c>
      <c r="H13" s="189"/>
      <c r="I13" s="34"/>
      <c r="J13" s="33"/>
      <c r="K13" s="35"/>
    </row>
    <row r="14" spans="1:11" ht="33.75" customHeight="1">
      <c r="A14" s="190" t="s">
        <v>64</v>
      </c>
      <c r="B14" s="190"/>
      <c r="C14" s="190"/>
      <c r="D14" s="190"/>
      <c r="E14" s="190"/>
      <c r="F14" s="22"/>
      <c r="G14" s="196" t="s">
        <v>15</v>
      </c>
      <c r="H14" s="188"/>
      <c r="I14" s="196" t="s">
        <v>16</v>
      </c>
      <c r="J14" s="188"/>
      <c r="K14" s="23"/>
    </row>
    <row r="15" spans="1:11" ht="40.5" customHeight="1" thickBot="1">
      <c r="A15" s="192" t="s">
        <v>67</v>
      </c>
      <c r="B15" s="193"/>
      <c r="C15" s="193"/>
      <c r="D15" s="193"/>
      <c r="E15" s="193"/>
      <c r="F15" s="36"/>
      <c r="G15" s="37">
        <f>G12*1.3</f>
        <v>360.78823529411761</v>
      </c>
      <c r="H15" s="38">
        <f>H12*1.3</f>
        <v>614.51764705882351</v>
      </c>
      <c r="I15" s="37">
        <f>I12*1.3</f>
        <v>223.6</v>
      </c>
      <c r="J15" s="38">
        <f>J12*1.3</f>
        <v>522.6</v>
      </c>
      <c r="K15" s="23"/>
    </row>
    <row r="16" spans="1:11" ht="30.75" customHeight="1">
      <c r="B16" s="5"/>
      <c r="C16" s="5"/>
      <c r="D16" s="5"/>
      <c r="E16" s="5"/>
      <c r="F16" s="5"/>
      <c r="G16" s="40"/>
      <c r="H16" s="41" t="s">
        <v>17</v>
      </c>
      <c r="I16" s="40"/>
      <c r="J16" s="41" t="s">
        <v>18</v>
      </c>
      <c r="K16" s="7"/>
    </row>
    <row r="17" spans="1:11" ht="20.25" customHeight="1">
      <c r="A17" s="39"/>
      <c r="B17" s="5"/>
      <c r="C17" s="42"/>
      <c r="D17" s="42"/>
      <c r="E17" s="42"/>
      <c r="F17" s="5"/>
      <c r="G17" s="191" t="s">
        <v>66</v>
      </c>
      <c r="H17" s="191"/>
      <c r="I17" s="42"/>
      <c r="J17" s="43"/>
      <c r="K17" s="44"/>
    </row>
    <row r="18" spans="1:11" ht="15" customHeight="1">
      <c r="A18" s="39"/>
      <c r="B18" s="5"/>
      <c r="C18" s="5"/>
      <c r="D18" s="5"/>
      <c r="E18" s="5"/>
      <c r="F18" s="5"/>
      <c r="G18" s="191"/>
      <c r="H18" s="191"/>
      <c r="I18" s="5"/>
      <c r="J18" s="5"/>
      <c r="K18" s="7"/>
    </row>
    <row r="19" spans="1:11" ht="15" customHeight="1">
      <c r="A19" s="45"/>
      <c r="B19" s="46"/>
      <c r="C19" s="47"/>
      <c r="D19" s="47"/>
      <c r="E19" s="47"/>
      <c r="F19" s="47"/>
      <c r="G19" s="47"/>
      <c r="H19" s="47"/>
      <c r="I19" s="47"/>
      <c r="J19" s="47"/>
      <c r="K19" s="48"/>
    </row>
  </sheetData>
  <sheetProtection sheet="1" objects="1" scenarios="1" selectLockedCells="1"/>
  <mergeCells count="20">
    <mergeCell ref="G10:H10"/>
    <mergeCell ref="I10:J10"/>
    <mergeCell ref="G13:H13"/>
    <mergeCell ref="A14:E14"/>
    <mergeCell ref="G17:H18"/>
    <mergeCell ref="A15:E15"/>
    <mergeCell ref="E11:E12"/>
    <mergeCell ref="G14:H14"/>
    <mergeCell ref="I14:J14"/>
    <mergeCell ref="A1:B1"/>
    <mergeCell ref="F1:K1"/>
    <mergeCell ref="A3:C3"/>
    <mergeCell ref="G3:J6"/>
    <mergeCell ref="E8:E9"/>
    <mergeCell ref="I9:J9"/>
    <mergeCell ref="G7:H7"/>
    <mergeCell ref="I7:J7"/>
    <mergeCell ref="G8:H8"/>
    <mergeCell ref="I8:J8"/>
    <mergeCell ref="G9:H9"/>
  </mergeCells>
  <conditionalFormatting sqref="B12">
    <cfRule type="expression" dxfId="15" priority="1">
      <formula>IF(A12="Arrière",B12&gt;10)</formula>
    </cfRule>
  </conditionalFormatting>
  <conditionalFormatting sqref="C6">
    <cfRule type="cellIs" dxfId="14" priority="4" stopIfTrue="1" operator="greaterThan">
      <formula>8000</formula>
    </cfRule>
  </conditionalFormatting>
  <conditionalFormatting sqref="C7">
    <cfRule type="containsText" dxfId="13" priority="5" stopIfTrue="1" operator="containsText" text="Dépassement">
      <formula>NOT(ISERROR(FIND(UPPER("Dépassement"),UPPER(C7))))</formula>
      <formula>"Dépassement"</formula>
    </cfRule>
  </conditionalFormatting>
  <conditionalFormatting sqref="C9">
    <cfRule type="containsText" dxfId="12" priority="7" stopIfTrue="1" operator="containsText" text="error">
      <formula>NOT(ISERROR(FIND(UPPER("error"),UPPER(C9))))</formula>
      <formula>"error"</formula>
    </cfRule>
  </conditionalFormatting>
  <conditionalFormatting sqref="E6">
    <cfRule type="cellIs" dxfId="11" priority="2" operator="lessThan">
      <formula>999</formula>
    </cfRule>
    <cfRule type="cellIs" dxfId="10" priority="3" operator="greaterThan">
      <formula>1158</formula>
    </cfRule>
  </conditionalFormatting>
  <conditionalFormatting sqref="G12:J12">
    <cfRule type="containsText" dxfId="9" priority="8" stopIfTrue="1" operator="containsText" text="ALT">
      <formula>NOT(ISERROR(FIND(UPPER("ALT"),UPPER(G12))))</formula>
      <formula>"ALT"</formula>
    </cfRule>
  </conditionalFormatting>
  <dataValidations count="2">
    <dataValidation type="list" allowBlank="1" showInputMessage="1" showErrorMessage="1" sqref="C12" xr:uid="{00000000-0002-0000-0000-000000000000}">
      <formula1>"Dure,Herbe"</formula1>
    </dataValidation>
    <dataValidation type="list" allowBlank="1" showInputMessage="1" showErrorMessage="1" sqref="A12" xr:uid="{00000000-0002-0000-0000-000001000000}">
      <formula1>"Face,Arrière"</formula1>
    </dataValidation>
  </dataValidations>
  <pageMargins left="0.7" right="0.7" top="0.75" bottom="0.75" header="0.3" footer="0.3"/>
  <pageSetup scale="62" orientation="landscape" r:id="rId1"/>
  <headerFooter>
    <oddFooter>&amp;C&amp;"Helvetica Neue,Regular"&amp;12&amp;K000000&amp;P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53"/>
  <sheetViews>
    <sheetView showGridLines="0" workbookViewId="0">
      <selection activeCell="A2" sqref="A2"/>
    </sheetView>
  </sheetViews>
  <sheetFormatPr baseColWidth="10" defaultColWidth="10.85546875" defaultRowHeight="15" customHeight="1"/>
  <cols>
    <col min="1" max="1" width="12.42578125" style="1" customWidth="1"/>
    <col min="2" max="2" width="5.7109375" style="1" customWidth="1"/>
    <col min="3" max="3" width="11.7109375" style="1" customWidth="1"/>
    <col min="4" max="4" width="18.140625" style="1" customWidth="1"/>
    <col min="5" max="5" width="19.7109375" style="1" customWidth="1"/>
    <col min="6" max="6" width="18.140625" style="1" customWidth="1"/>
    <col min="7" max="7" width="19.7109375" style="1" customWidth="1"/>
    <col min="8" max="8" width="17.42578125" style="1" customWidth="1"/>
    <col min="9" max="9" width="19" style="1" customWidth="1"/>
    <col min="10" max="10" width="17.42578125" style="1" customWidth="1"/>
    <col min="11" max="12" width="17.42578125" style="138" customWidth="1"/>
    <col min="13" max="13" width="18.140625" style="1" customWidth="1"/>
    <col min="14" max="14" width="16.42578125" style="1" customWidth="1"/>
    <col min="15" max="15" width="18.140625" style="1" customWidth="1"/>
    <col min="16" max="16" width="17.140625" style="1" customWidth="1"/>
    <col min="17" max="17" width="17.42578125" style="1" customWidth="1"/>
    <col min="18" max="18" width="9" style="1" customWidth="1"/>
    <col min="19" max="19" width="11.42578125" style="1" customWidth="1"/>
    <col min="20" max="20" width="14.85546875" style="1" customWidth="1"/>
    <col min="21" max="21" width="22.140625" style="1" customWidth="1"/>
    <col min="22" max="26" width="23" style="1" customWidth="1"/>
    <col min="27" max="28" width="22.42578125" style="1" customWidth="1"/>
    <col min="29" max="31" width="14.85546875" style="1" customWidth="1"/>
    <col min="32" max="36" width="31" style="1" customWidth="1"/>
    <col min="37" max="37" width="10.85546875" style="1" customWidth="1"/>
    <col min="38" max="16384" width="10.85546875" style="1"/>
  </cols>
  <sheetData>
    <row r="1" spans="1:36" ht="36" customHeight="1">
      <c r="A1" s="215" t="s">
        <v>38</v>
      </c>
      <c r="B1" s="216"/>
      <c r="C1" s="216"/>
      <c r="D1" s="216"/>
      <c r="E1" s="216"/>
      <c r="F1" s="108"/>
      <c r="G1" s="108"/>
      <c r="H1" s="49"/>
      <c r="I1" s="50"/>
      <c r="J1" s="50"/>
      <c r="K1" s="132"/>
      <c r="L1" s="132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5"/>
      <c r="AC1" s="5"/>
      <c r="AD1" s="5"/>
      <c r="AE1" s="49"/>
      <c r="AF1" s="50"/>
      <c r="AG1" s="50"/>
      <c r="AH1" s="50"/>
      <c r="AI1" s="50"/>
      <c r="AJ1" s="50"/>
    </row>
    <row r="2" spans="1:36" ht="13.5" customHeight="1">
      <c r="A2" s="51"/>
      <c r="B2" s="51"/>
      <c r="C2" s="51"/>
      <c r="D2" s="51"/>
      <c r="E2" s="51"/>
      <c r="F2" s="51"/>
      <c r="G2" s="51"/>
      <c r="H2" s="50"/>
      <c r="I2" s="50"/>
      <c r="J2" s="50"/>
      <c r="K2" s="132"/>
      <c r="L2" s="132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5"/>
      <c r="AC2" s="5"/>
      <c r="AD2" s="5"/>
      <c r="AE2" s="49"/>
      <c r="AF2" s="50"/>
      <c r="AG2" s="50"/>
      <c r="AH2" s="50"/>
      <c r="AI2" s="50"/>
      <c r="AJ2" s="50"/>
    </row>
    <row r="3" spans="1:36" ht="13.5" customHeight="1">
      <c r="A3" s="52"/>
      <c r="B3" s="52"/>
      <c r="C3" s="52"/>
      <c r="D3" s="52"/>
      <c r="E3" s="52"/>
      <c r="F3" s="52"/>
      <c r="G3" s="52"/>
      <c r="H3" s="52"/>
      <c r="I3" s="52"/>
      <c r="J3" s="52"/>
      <c r="K3" s="133"/>
      <c r="L3" s="133"/>
      <c r="M3" s="52"/>
      <c r="N3" s="52"/>
      <c r="O3" s="52"/>
      <c r="P3" s="52"/>
      <c r="Q3" s="52"/>
      <c r="R3" s="50"/>
      <c r="S3" s="52"/>
      <c r="T3" s="52"/>
      <c r="U3" s="52"/>
      <c r="V3" s="52"/>
      <c r="W3" s="52"/>
      <c r="X3" s="52"/>
      <c r="Y3" s="52"/>
      <c r="Z3" s="52"/>
      <c r="AA3" s="52"/>
      <c r="AB3" s="82"/>
      <c r="AC3" s="5"/>
      <c r="AD3" s="5"/>
      <c r="AE3" s="49"/>
      <c r="AF3" s="50"/>
      <c r="AG3" s="50"/>
      <c r="AH3" s="50"/>
      <c r="AI3" s="50"/>
      <c r="AJ3" s="50"/>
    </row>
    <row r="4" spans="1:36" ht="18.75" customHeight="1">
      <c r="A4" s="217" t="s">
        <v>19</v>
      </c>
      <c r="B4" s="218"/>
      <c r="C4" s="218"/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53"/>
      <c r="S4" s="219" t="s">
        <v>20</v>
      </c>
      <c r="T4" s="220"/>
      <c r="U4" s="220"/>
      <c r="V4" s="220"/>
      <c r="W4" s="220"/>
      <c r="X4" s="220"/>
      <c r="Y4" s="220"/>
      <c r="Z4" s="220"/>
      <c r="AA4" s="220"/>
      <c r="AB4" s="220"/>
      <c r="AC4" s="92"/>
      <c r="AD4" s="5"/>
      <c r="AE4" s="80"/>
      <c r="AF4" s="52"/>
      <c r="AG4" s="52"/>
      <c r="AH4" s="52"/>
      <c r="AI4" s="52"/>
      <c r="AJ4" s="52"/>
    </row>
    <row r="5" spans="1:36" ht="15.75" customHeight="1" thickBot="1">
      <c r="A5" s="51"/>
      <c r="B5" s="51"/>
      <c r="C5" s="51"/>
      <c r="D5" s="54"/>
      <c r="E5" s="54"/>
      <c r="F5" s="54"/>
      <c r="G5" s="54"/>
      <c r="H5" s="54"/>
      <c r="I5" s="54"/>
      <c r="J5" s="54"/>
      <c r="K5" s="134"/>
      <c r="L5" s="134"/>
      <c r="M5" s="54"/>
      <c r="N5" s="54"/>
      <c r="O5" s="54"/>
      <c r="P5" s="54"/>
      <c r="Q5" s="54"/>
      <c r="R5" s="50"/>
      <c r="S5" s="51"/>
      <c r="T5" s="51"/>
      <c r="U5" s="54"/>
      <c r="V5" s="54"/>
      <c r="W5" s="54"/>
      <c r="X5" s="54"/>
      <c r="Y5" s="54"/>
      <c r="Z5" s="54"/>
      <c r="AA5" s="54"/>
      <c r="AB5" s="90"/>
      <c r="AC5" s="92"/>
      <c r="AD5" s="94"/>
      <c r="AE5" s="221" t="s">
        <v>21</v>
      </c>
      <c r="AF5" s="222"/>
      <c r="AG5" s="222"/>
      <c r="AH5" s="222"/>
      <c r="AI5" s="222"/>
      <c r="AJ5" s="223"/>
    </row>
    <row r="6" spans="1:36" ht="15.75" customHeight="1" thickBot="1">
      <c r="A6" s="56"/>
      <c r="B6" s="56"/>
      <c r="C6" s="224" t="s">
        <v>22</v>
      </c>
      <c r="D6" s="225"/>
      <c r="E6" s="224" t="s">
        <v>22</v>
      </c>
      <c r="F6" s="225"/>
      <c r="G6" s="224" t="s">
        <v>22</v>
      </c>
      <c r="H6" s="225"/>
      <c r="I6" s="224" t="s">
        <v>23</v>
      </c>
      <c r="J6" s="225"/>
      <c r="K6" s="135"/>
      <c r="L6" s="135"/>
      <c r="M6" s="226" t="s">
        <v>41</v>
      </c>
      <c r="N6" s="227"/>
      <c r="O6" s="228" t="s">
        <v>24</v>
      </c>
      <c r="P6" s="229"/>
      <c r="Q6" s="57"/>
      <c r="R6" s="58"/>
      <c r="S6" s="56"/>
      <c r="T6" s="224" t="s">
        <v>22</v>
      </c>
      <c r="U6" s="225"/>
      <c r="V6" s="231" t="s">
        <v>40</v>
      </c>
      <c r="W6" s="232"/>
      <c r="X6" s="232"/>
      <c r="Y6" s="233"/>
      <c r="Z6" s="228" t="s">
        <v>24</v>
      </c>
      <c r="AA6" s="230"/>
      <c r="AB6" s="92"/>
      <c r="AC6" s="5"/>
      <c r="AD6" s="5"/>
      <c r="AE6" s="148"/>
      <c r="AF6" s="54"/>
      <c r="AG6" s="54"/>
      <c r="AH6" s="54"/>
      <c r="AI6" s="51"/>
      <c r="AJ6" s="149"/>
    </row>
    <row r="7" spans="1:36" ht="18.75" customHeight="1">
      <c r="A7" s="234" t="s">
        <v>25</v>
      </c>
      <c r="B7" s="236" t="s">
        <v>26</v>
      </c>
      <c r="C7" s="238">
        <v>1158</v>
      </c>
      <c r="D7" s="239"/>
      <c r="E7" s="238">
        <v>1090</v>
      </c>
      <c r="F7" s="239"/>
      <c r="G7" s="238">
        <v>999</v>
      </c>
      <c r="H7" s="239"/>
      <c r="I7" s="240">
        <f>'Perfos C172S F-HAAM'!E6</f>
        <v>1150</v>
      </c>
      <c r="J7" s="241"/>
      <c r="K7" s="136"/>
      <c r="L7" s="136"/>
      <c r="M7" s="244">
        <f>'Perfos C172S F-HAAM'!$A$9</f>
        <v>10</v>
      </c>
      <c r="N7" s="245"/>
      <c r="O7" s="246">
        <f>IF('Perfos C172S F-HAAM'!$C$6&lt;0,0,'Perfos C172S F-HAAM'!$C$6)</f>
        <v>0</v>
      </c>
      <c r="P7" s="247"/>
      <c r="Q7" s="59"/>
      <c r="R7" s="248" t="s">
        <v>25</v>
      </c>
      <c r="S7" s="236" t="s">
        <v>26</v>
      </c>
      <c r="T7" s="250">
        <v>1158</v>
      </c>
      <c r="U7" s="251"/>
      <c r="V7" s="252"/>
      <c r="W7" s="253"/>
      <c r="X7" s="130"/>
      <c r="Y7" s="130"/>
      <c r="Z7" s="246">
        <f>IF('Perfos C172S F-HAAM'!$C$6&lt;0,0,'Perfos C172S F-HAAM'!$C$6)</f>
        <v>0</v>
      </c>
      <c r="AA7" s="254"/>
      <c r="AB7" s="92"/>
      <c r="AC7" s="5"/>
      <c r="AD7" s="145"/>
      <c r="AE7" s="255" t="s">
        <v>27</v>
      </c>
      <c r="AF7" s="243"/>
      <c r="AG7" s="242" t="s">
        <v>28</v>
      </c>
      <c r="AH7" s="243"/>
      <c r="AI7" s="60"/>
      <c r="AJ7" s="149"/>
    </row>
    <row r="8" spans="1:36" ht="45.75" customHeight="1" thickBot="1">
      <c r="A8" s="235"/>
      <c r="B8" s="237"/>
      <c r="C8" s="61" t="s">
        <v>10</v>
      </c>
      <c r="D8" s="62" t="s">
        <v>29</v>
      </c>
      <c r="E8" s="61" t="s">
        <v>10</v>
      </c>
      <c r="F8" s="62" t="s">
        <v>29</v>
      </c>
      <c r="G8" s="61" t="s">
        <v>10</v>
      </c>
      <c r="H8" s="62" t="s">
        <v>29</v>
      </c>
      <c r="I8" s="61" t="s">
        <v>10</v>
      </c>
      <c r="J8" s="62" t="s">
        <v>29</v>
      </c>
      <c r="K8" s="137" t="s">
        <v>39</v>
      </c>
      <c r="L8" s="137"/>
      <c r="M8" s="99" t="s">
        <v>10</v>
      </c>
      <c r="N8" s="100" t="s">
        <v>29</v>
      </c>
      <c r="O8" s="99" t="s">
        <v>10</v>
      </c>
      <c r="P8" s="100" t="s">
        <v>29</v>
      </c>
      <c r="Q8" s="59"/>
      <c r="R8" s="249"/>
      <c r="S8" s="237"/>
      <c r="T8" s="61" t="s">
        <v>10</v>
      </c>
      <c r="U8" s="62" t="s">
        <v>30</v>
      </c>
      <c r="V8" s="61" t="s">
        <v>10</v>
      </c>
      <c r="W8" s="62" t="s">
        <v>30</v>
      </c>
      <c r="X8" s="99" t="s">
        <v>10</v>
      </c>
      <c r="Y8" s="100" t="s">
        <v>29</v>
      </c>
      <c r="Z8" s="25" t="s">
        <v>10</v>
      </c>
      <c r="AA8" s="91" t="s">
        <v>30</v>
      </c>
      <c r="AB8" s="92"/>
      <c r="AC8" s="5"/>
      <c r="AD8" s="146"/>
      <c r="AE8" s="150" t="s">
        <v>10</v>
      </c>
      <c r="AF8" s="151" t="s">
        <v>11</v>
      </c>
      <c r="AG8" s="152" t="s">
        <v>10</v>
      </c>
      <c r="AH8" s="151" t="s">
        <v>12</v>
      </c>
      <c r="AI8" s="153"/>
      <c r="AJ8" s="154"/>
    </row>
    <row r="9" spans="1:36" ht="18.75" customHeight="1">
      <c r="A9" s="256">
        <v>0</v>
      </c>
      <c r="B9" s="63">
        <v>0</v>
      </c>
      <c r="C9" s="64">
        <v>262</v>
      </c>
      <c r="D9" s="65">
        <v>447</v>
      </c>
      <c r="E9" s="64">
        <v>227</v>
      </c>
      <c r="F9" s="65">
        <v>389</v>
      </c>
      <c r="G9" s="64">
        <v>186</v>
      </c>
      <c r="H9" s="65">
        <v>322</v>
      </c>
      <c r="I9" s="124">
        <f>IF(I7&gt;=1090,E9+(C9-E9)/68*(I7-1090),G9+(E9-G9)/91*(I7-999))</f>
        <v>257.88235294117646</v>
      </c>
      <c r="J9" s="125">
        <f>IF(I7&gt;=1090,F9+(D9-F9)/68*(I7-1090),H9+(F9-H9)/91*(I7-999))</f>
        <v>440.1764705882353</v>
      </c>
      <c r="K9" s="139">
        <f>IF(M7&lt;=0,I9,0)</f>
        <v>0</v>
      </c>
      <c r="L9" s="139">
        <f>IF(M7&lt;=0,J9,0)</f>
        <v>0</v>
      </c>
      <c r="M9" s="197">
        <f>SUM(K9:K13)</f>
        <v>277.52941176470586</v>
      </c>
      <c r="N9" s="201">
        <f>SUM(L9:L13)</f>
        <v>472.70588235294116</v>
      </c>
      <c r="O9" s="265">
        <f>O42+O44</f>
        <v>277.52941176470586</v>
      </c>
      <c r="P9" s="268">
        <f>P42+P44</f>
        <v>472.70588235294116</v>
      </c>
      <c r="Q9" s="141"/>
      <c r="R9" s="210">
        <v>0</v>
      </c>
      <c r="S9" s="63">
        <v>0</v>
      </c>
      <c r="T9" s="66">
        <v>166</v>
      </c>
      <c r="U9" s="67">
        <v>393</v>
      </c>
      <c r="V9" s="139">
        <f>IF(M7&lt;=0,T9,0)</f>
        <v>0</v>
      </c>
      <c r="W9" s="139">
        <f>IF(M7&lt;=0,U9,0)</f>
        <v>0</v>
      </c>
      <c r="X9" s="197">
        <f>SUM(V9:V13)</f>
        <v>172</v>
      </c>
      <c r="Y9" s="201">
        <f>SUM(W9:W13)</f>
        <v>402</v>
      </c>
      <c r="Z9" s="260">
        <f>Z42+Z44</f>
        <v>172</v>
      </c>
      <c r="AA9" s="262">
        <f>AA42+AA44</f>
        <v>402</v>
      </c>
      <c r="AB9" s="93"/>
      <c r="AC9" s="94"/>
      <c r="AD9" s="147" t="s">
        <v>31</v>
      </c>
      <c r="AE9" s="68">
        <f>IF('Perfos C172S F-HAAM'!$A$12="Face",(1-('Perfos C172S F-HAAM'!B12/90))*'Calculs C172S'!O9,IF('Perfos C172S F-HAAM'!$A$12="Arrière",(1+('Perfos C172S F-HAAM'!B12/20))*'Calculs C172S'!O9))</f>
        <v>277.52941176470586</v>
      </c>
      <c r="AF9" s="68">
        <f>IF('Perfos C172S F-HAAM'!$A$12="Face",(1-('Perfos C172S F-HAAM'!B12/90))*'Calculs C172S'!P9,IF('Perfos C172S F-HAAM'!$A$12="Arrière",(1+('Perfos C172S F-HAAM'!B12/20))*'Calculs C172S'!P9))</f>
        <v>472.70588235294116</v>
      </c>
      <c r="AG9" s="68">
        <f>IF('Perfos C172S F-HAAM'!$A$12="Face",(1-('Perfos C172S F-HAAM'!B12/90))*'Calculs C172S'!Z9,IF('Perfos C172S F-HAAM'!$A$12="Arrière",(1+('Perfos C172S F-HAAM'!B12/20))*'Calculs C172S'!Z9))</f>
        <v>172</v>
      </c>
      <c r="AH9" s="68">
        <f>IF('Perfos C172S F-HAAM'!$A$12="Face",(1-('Perfos C172S F-HAAM'!B12/90))*'Calculs C172S'!AA9,IF('Perfos C172S F-HAAM'!$A$12="Arrière",(1+('Perfos C172S F-HAAM'!B12/20))*'Calculs C172S'!AA9))</f>
        <v>402</v>
      </c>
      <c r="AI9" s="69"/>
    </row>
    <row r="10" spans="1:36" ht="18.75" customHeight="1" thickBot="1">
      <c r="A10" s="258"/>
      <c r="B10" s="70">
        <v>10</v>
      </c>
      <c r="C10" s="71">
        <v>282</v>
      </c>
      <c r="D10" s="72">
        <v>480</v>
      </c>
      <c r="E10" s="71">
        <v>244</v>
      </c>
      <c r="F10" s="72">
        <v>418</v>
      </c>
      <c r="G10" s="71">
        <v>200</v>
      </c>
      <c r="H10" s="72">
        <v>344</v>
      </c>
      <c r="I10" s="126">
        <f>IF(I7&gt;=1090,E10+(C10-E10)/68*(I7-1090),G10+(E10-G10)/91*(I7-999))</f>
        <v>277.52941176470586</v>
      </c>
      <c r="J10" s="127">
        <f>IF(I7&gt;=1090,F10+(D10-F10)/68*(I7-1090),H10+(F10-H10)/91*(I7-999))</f>
        <v>472.70588235294116</v>
      </c>
      <c r="K10" s="131">
        <f>IF(AND(M7&gt;0,M7&lt;=10),I9+((I10-I9)/10*M7),0)</f>
        <v>277.52941176470586</v>
      </c>
      <c r="L10" s="131">
        <f>IF(AND(M7&gt;0,M7&lt;=10),J9+((J10-J9)/10*M7),0)</f>
        <v>472.70588235294116</v>
      </c>
      <c r="M10" s="198"/>
      <c r="N10" s="202"/>
      <c r="O10" s="266"/>
      <c r="P10" s="269"/>
      <c r="Q10" s="141"/>
      <c r="R10" s="212"/>
      <c r="S10" s="70">
        <v>10</v>
      </c>
      <c r="T10" s="73">
        <v>172</v>
      </c>
      <c r="U10" s="74">
        <v>402</v>
      </c>
      <c r="V10" s="131">
        <f>IF(AND(M7&gt;0,M7&lt;=10),T9+((T10-T9)/10*M7),0)</f>
        <v>172</v>
      </c>
      <c r="W10" s="131">
        <f>IF(AND(M7&gt;0,M7&lt;=10),U9+((U10-U9)/10*M7),0)</f>
        <v>402</v>
      </c>
      <c r="X10" s="198"/>
      <c r="Y10" s="202"/>
      <c r="Z10" s="260"/>
      <c r="AA10" s="262"/>
      <c r="AB10" s="92"/>
      <c r="AC10" s="94"/>
      <c r="AD10" s="95" t="s">
        <v>32</v>
      </c>
      <c r="AE10" s="96">
        <f>IF(COUNTIF('Perfos C172S F-HAAM'!$C$12,"Dure"),AE9,AE9*1.15)</f>
        <v>277.52941176470586</v>
      </c>
      <c r="AF10" s="97">
        <f>(AE10+(AF9-AE9))</f>
        <v>472.70588235294116</v>
      </c>
      <c r="AG10" s="96">
        <f>IF(COUNTIF('Perfos C172S F-HAAM'!$C$12,"Dure"),AG9,AG9*1.45)</f>
        <v>172</v>
      </c>
      <c r="AH10" s="97">
        <f>(AG10+(AH9-AG9))</f>
        <v>402</v>
      </c>
      <c r="AI10" s="98"/>
    </row>
    <row r="11" spans="1:36" ht="18.75" customHeight="1">
      <c r="A11" s="264"/>
      <c r="B11" s="109">
        <v>20</v>
      </c>
      <c r="C11" s="110">
        <v>303</v>
      </c>
      <c r="D11" s="111">
        <v>515</v>
      </c>
      <c r="E11" s="110">
        <v>262</v>
      </c>
      <c r="F11" s="111">
        <v>448</v>
      </c>
      <c r="G11" s="110">
        <v>215</v>
      </c>
      <c r="H11" s="111">
        <v>367</v>
      </c>
      <c r="I11" s="126">
        <f>IF(I7&gt;=1090,E11+(C11-E11)/68*(I7-1090),G11+(E11-G11)/91*(I7-999))</f>
        <v>298.1764705882353</v>
      </c>
      <c r="J11" s="127">
        <f>IF(I7&gt;=1090,F11+(D11-F11)/68*(I7-1090),H11+(F11-H11)/91*(I7-999))</f>
        <v>507.11764705882354</v>
      </c>
      <c r="K11" s="131">
        <f>IF(AND(M7&gt;10,M7&lt;=20),I10+(I11-I10)/10*(M7-10),0)</f>
        <v>0</v>
      </c>
      <c r="L11" s="131">
        <f>IF(AND(M7&gt;10,M7&lt;=20),J10+(J11-J10)/10*(M7-10),0)</f>
        <v>0</v>
      </c>
      <c r="M11" s="199"/>
      <c r="N11" s="203"/>
      <c r="O11" s="266"/>
      <c r="P11" s="269"/>
      <c r="Q11" s="141"/>
      <c r="R11" s="271"/>
      <c r="S11" s="109">
        <v>20</v>
      </c>
      <c r="T11" s="112">
        <v>178</v>
      </c>
      <c r="U11" s="113">
        <v>411</v>
      </c>
      <c r="V11" s="131">
        <f>IF(AND(M7&gt;10,M7&lt;=20),T10+(T11-T10)/10*(M7-10),0)</f>
        <v>0</v>
      </c>
      <c r="W11" s="131">
        <f>IF(AND(M7&gt;10,M7&lt;=20),U10+(U11-U10)/10*(M7-10),0)</f>
        <v>0</v>
      </c>
      <c r="X11" s="199"/>
      <c r="Y11" s="203"/>
      <c r="Z11" s="260"/>
      <c r="AA11" s="262"/>
      <c r="AB11" s="92"/>
      <c r="AC11" s="5"/>
      <c r="AD11" s="114"/>
      <c r="AE11" s="115"/>
      <c r="AF11" s="155"/>
      <c r="AG11" s="115"/>
      <c r="AH11" s="155"/>
      <c r="AI11" s="116"/>
    </row>
    <row r="12" spans="1:36" ht="18.75" customHeight="1">
      <c r="A12" s="264"/>
      <c r="B12" s="109">
        <v>30</v>
      </c>
      <c r="C12" s="110">
        <v>326</v>
      </c>
      <c r="D12" s="111">
        <v>552</v>
      </c>
      <c r="E12" s="110">
        <v>282</v>
      </c>
      <c r="F12" s="111">
        <v>479</v>
      </c>
      <c r="G12" s="110">
        <v>232</v>
      </c>
      <c r="H12" s="111">
        <v>393</v>
      </c>
      <c r="I12" s="126">
        <f>IF(I7&gt;=1090,E12+(C12-E12)/68*(I7-1090),G12+(E12-G12)/91*(I7-999))</f>
        <v>320.8235294117647</v>
      </c>
      <c r="J12" s="127">
        <f>IF(I7&gt;=1090,F12+(D12-F12)/68*(I7-1090),H12+(F12-H12)/91*(I7-999))</f>
        <v>543.41176470588232</v>
      </c>
      <c r="K12" s="131">
        <f>IF(AND(M7&gt;20,M7&lt;=30),I11+(I12-I11)/10*(M7-20),0)</f>
        <v>0</v>
      </c>
      <c r="L12" s="131">
        <f>IF(AND(M7&gt;20,M7&lt;=30),J11+(J12-J11)/10*(M7-20),0)</f>
        <v>0</v>
      </c>
      <c r="M12" s="199"/>
      <c r="N12" s="203"/>
      <c r="O12" s="266"/>
      <c r="P12" s="269"/>
      <c r="Q12" s="141"/>
      <c r="R12" s="271"/>
      <c r="S12" s="109">
        <v>30</v>
      </c>
      <c r="T12" s="112">
        <v>184</v>
      </c>
      <c r="U12" s="113">
        <v>421</v>
      </c>
      <c r="V12" s="131">
        <f>IF(AND(M7&gt;20,M7&lt;=30),T11+(T12-T11)/10*(M7-20),0)</f>
        <v>0</v>
      </c>
      <c r="W12" s="131">
        <f>IF(AND(M7&gt;20,M7&lt;=30),U11+(U12-U11)/10*(M7-20),0)</f>
        <v>0</v>
      </c>
      <c r="X12" s="199"/>
      <c r="Y12" s="203"/>
      <c r="Z12" s="260"/>
      <c r="AA12" s="262"/>
      <c r="AB12" s="92"/>
      <c r="AC12" s="5"/>
      <c r="AD12" s="114"/>
      <c r="AE12" s="115"/>
      <c r="AF12" s="155"/>
      <c r="AG12" s="115"/>
      <c r="AH12" s="155"/>
      <c r="AI12" s="116"/>
    </row>
    <row r="13" spans="1:36" ht="19.5" customHeight="1" thickBot="1">
      <c r="A13" s="259"/>
      <c r="B13" s="75">
        <v>40</v>
      </c>
      <c r="C13" s="76">
        <v>351</v>
      </c>
      <c r="D13" s="77">
        <v>593</v>
      </c>
      <c r="E13" s="76">
        <v>303</v>
      </c>
      <c r="F13" s="77">
        <v>514</v>
      </c>
      <c r="G13" s="76">
        <v>248</v>
      </c>
      <c r="H13" s="77">
        <v>421</v>
      </c>
      <c r="I13" s="128">
        <f>IF(I7&gt;=1090,E13+(C13-E13)/68*(I7-1090),G13+(E13-G13)/91*(I7-999))</f>
        <v>345.35294117647061</v>
      </c>
      <c r="J13" s="129">
        <f>IF(I7&gt;=1090,F13+(D13-F13)/68*(I7-1090),H13+(F13-H13)/91*(I7-999))</f>
        <v>583.70588235294122</v>
      </c>
      <c r="K13" s="140">
        <f>IF(AND(M7&gt;30,M7&lt;=40),I12+(I13-I12)/10*(M7-30),0)</f>
        <v>0</v>
      </c>
      <c r="L13" s="140">
        <f>IF(AND(M7&gt;30,M7&lt;=40),J12+(J13-J12)/10*(M7-30),0)</f>
        <v>0</v>
      </c>
      <c r="M13" s="200"/>
      <c r="N13" s="204"/>
      <c r="O13" s="266"/>
      <c r="P13" s="269"/>
      <c r="Q13" s="142"/>
      <c r="R13" s="213"/>
      <c r="S13" s="75">
        <v>40</v>
      </c>
      <c r="T13" s="78">
        <v>191</v>
      </c>
      <c r="U13" s="79">
        <v>431</v>
      </c>
      <c r="V13" s="140">
        <f>IF(AND(M7&gt;30,M7&lt;=40),T12+(T13-T12)/10*(M7-30),0)</f>
        <v>0</v>
      </c>
      <c r="W13" s="140">
        <f>IF(AND(M7&gt;30,M7&lt;=40),U12+(U13-U12)/10*(M7-30),0)</f>
        <v>0</v>
      </c>
      <c r="X13" s="200"/>
      <c r="Y13" s="204"/>
      <c r="Z13" s="260"/>
      <c r="AA13" s="262"/>
      <c r="AB13" s="92"/>
      <c r="AC13" s="5"/>
      <c r="AD13" s="5"/>
      <c r="AE13" s="5"/>
      <c r="AF13" s="5"/>
      <c r="AG13" s="5"/>
      <c r="AH13" s="5"/>
      <c r="AI13" s="5"/>
    </row>
    <row r="14" spans="1:36" ht="15" customHeight="1">
      <c r="A14" s="256">
        <v>1000</v>
      </c>
      <c r="B14" s="63">
        <v>0</v>
      </c>
      <c r="C14" s="64">
        <v>287</v>
      </c>
      <c r="D14" s="65">
        <v>488</v>
      </c>
      <c r="E14" s="64">
        <v>247</v>
      </c>
      <c r="F14" s="65">
        <v>424</v>
      </c>
      <c r="G14" s="64">
        <v>203</v>
      </c>
      <c r="H14" s="65">
        <v>349</v>
      </c>
      <c r="I14" s="124">
        <f>IF(I7&gt;=1090,E14+(C14-E14)/68*(I7-1090),G14+(E14-G14)/91*(I7-999))</f>
        <v>282.29411764705884</v>
      </c>
      <c r="J14" s="125">
        <f>IF(I7&gt;=1090,F14+(D14-F14)/68*(I7-1090),H14+(F14-H14)/91*(I7-999))</f>
        <v>480.47058823529414</v>
      </c>
      <c r="K14" s="139">
        <f>IF(M7&lt;=0,I14,0)</f>
        <v>0</v>
      </c>
      <c r="L14" s="139">
        <f>IF(M7&lt;=0,J14,0)</f>
        <v>0</v>
      </c>
      <c r="M14" s="205">
        <f>SUM(K14:K18)</f>
        <v>303.1764705882353</v>
      </c>
      <c r="N14" s="207">
        <f>SUM(L14:L18)</f>
        <v>516</v>
      </c>
      <c r="O14" s="266"/>
      <c r="P14" s="269"/>
      <c r="Q14" s="143"/>
      <c r="R14" s="210">
        <v>1000</v>
      </c>
      <c r="S14" s="63">
        <v>0</v>
      </c>
      <c r="T14" s="66">
        <v>172</v>
      </c>
      <c r="U14" s="67">
        <v>402</v>
      </c>
      <c r="V14" s="139">
        <f>IF(M7&lt;=0,T14,0)</f>
        <v>0</v>
      </c>
      <c r="W14" s="139">
        <f>IF(M7&lt;=0,U14,0)</f>
        <v>0</v>
      </c>
      <c r="X14" s="205">
        <f>SUM(V14:V18)</f>
        <v>178</v>
      </c>
      <c r="Y14" s="207">
        <f>SUM(W14:W18)</f>
        <v>411</v>
      </c>
      <c r="Z14" s="260"/>
      <c r="AA14" s="262"/>
      <c r="AB14" s="92"/>
      <c r="AC14" s="5"/>
      <c r="AD14" s="5"/>
      <c r="AE14" s="5"/>
      <c r="AF14" s="5"/>
      <c r="AG14" s="5"/>
      <c r="AH14" s="5"/>
      <c r="AI14" s="5"/>
    </row>
    <row r="15" spans="1:36" ht="15" customHeight="1">
      <c r="A15" s="257"/>
      <c r="B15" s="117">
        <v>10</v>
      </c>
      <c r="C15" s="118">
        <v>308</v>
      </c>
      <c r="D15" s="119">
        <v>524</v>
      </c>
      <c r="E15" s="118">
        <v>267</v>
      </c>
      <c r="F15" s="119">
        <v>456</v>
      </c>
      <c r="G15" s="118">
        <v>219</v>
      </c>
      <c r="H15" s="119">
        <v>375</v>
      </c>
      <c r="I15" s="126">
        <f>IF(I7&gt;=1090,E15+(C15-E15)/68*(I7-1090),G15+(E15-G15)/91*(I7-999))</f>
        <v>303.1764705882353</v>
      </c>
      <c r="J15" s="127">
        <f>IF(I7&gt;=1090,F15+(D15-F15)/68*(I7-1090),H15+(F15-H15)/91*(I7-999))</f>
        <v>516</v>
      </c>
      <c r="K15" s="131">
        <f>IF(AND(M7&gt;0,M7&lt;=10),I14+((I15-I14)/10*M7),0)</f>
        <v>303.1764705882353</v>
      </c>
      <c r="L15" s="131">
        <f>IF(AND(M7&gt;0,M7&lt;=10),J14+((J15-J14)/10*M7),0)</f>
        <v>516</v>
      </c>
      <c r="M15" s="206"/>
      <c r="N15" s="208"/>
      <c r="O15" s="266"/>
      <c r="P15" s="269"/>
      <c r="Q15" s="143"/>
      <c r="R15" s="211"/>
      <c r="S15" s="117">
        <v>10</v>
      </c>
      <c r="T15" s="120">
        <v>178</v>
      </c>
      <c r="U15" s="121">
        <v>411</v>
      </c>
      <c r="V15" s="131">
        <f>IF(AND(M7&gt;0,M7&lt;=10),T14+((T15-T14)/10*M7),0)</f>
        <v>178</v>
      </c>
      <c r="W15" s="131">
        <f>IF(AND(M7&gt;0,M7&lt;=10),U14+((U15-U14)/10*M7),0)</f>
        <v>411</v>
      </c>
      <c r="X15" s="206"/>
      <c r="Y15" s="208"/>
      <c r="Z15" s="260"/>
      <c r="AA15" s="262"/>
      <c r="AB15" s="92"/>
      <c r="AC15" s="5"/>
      <c r="AD15" s="5"/>
      <c r="AE15" s="5"/>
      <c r="AF15" s="5"/>
      <c r="AG15" s="5"/>
      <c r="AH15" s="5"/>
      <c r="AI15" s="5"/>
    </row>
    <row r="16" spans="1:36" ht="15" customHeight="1">
      <c r="A16" s="257"/>
      <c r="B16" s="117">
        <v>20</v>
      </c>
      <c r="C16" s="118">
        <v>332</v>
      </c>
      <c r="D16" s="119">
        <v>564</v>
      </c>
      <c r="E16" s="118">
        <v>287</v>
      </c>
      <c r="F16" s="119">
        <v>489</v>
      </c>
      <c r="G16" s="118">
        <v>235</v>
      </c>
      <c r="H16" s="119">
        <v>401</v>
      </c>
      <c r="I16" s="126">
        <f>IF(I7&gt;=1090,E16+(C16-E16)/68*(I7-1090),G16+(E16-G16)/91*(I7-999))</f>
        <v>326.70588235294116</v>
      </c>
      <c r="J16" s="127">
        <f>IF(I7&gt;=1090,F16+(D16-F16)/68*(I7-1090),H16+(F16-H16)/91*(I7-999))</f>
        <v>555.17647058823536</v>
      </c>
      <c r="K16" s="131">
        <f>IF(AND(M7&gt;10,M7&lt;=20),I15+(I16-I15)/10*(M7-10),0)</f>
        <v>0</v>
      </c>
      <c r="L16" s="131">
        <f>IF(AND(M7&gt;10,M7&lt;=20),J15+(J16-J15)/10*(M7-10),0)</f>
        <v>0</v>
      </c>
      <c r="M16" s="206"/>
      <c r="N16" s="208"/>
      <c r="O16" s="266"/>
      <c r="P16" s="269"/>
      <c r="Q16" s="143"/>
      <c r="R16" s="211"/>
      <c r="S16" s="117">
        <v>20</v>
      </c>
      <c r="T16" s="120">
        <v>184</v>
      </c>
      <c r="U16" s="121">
        <v>422</v>
      </c>
      <c r="V16" s="131">
        <f>IF(AND(M7&gt;10,M7&lt;=20),T15+(T16-T15)/10*(M7-10),0)</f>
        <v>0</v>
      </c>
      <c r="W16" s="131">
        <f>IF(AND(M7&gt;10,M7&lt;=20),U15+(U16-U15)/10*(M7-10),0)</f>
        <v>0</v>
      </c>
      <c r="X16" s="206"/>
      <c r="Y16" s="208"/>
      <c r="Z16" s="260"/>
      <c r="AA16" s="262"/>
      <c r="AB16" s="92"/>
      <c r="AC16" s="5"/>
      <c r="AD16" s="5"/>
      <c r="AE16" s="5"/>
      <c r="AF16" s="5"/>
      <c r="AG16" s="5"/>
      <c r="AH16" s="5"/>
      <c r="AI16" s="5"/>
    </row>
    <row r="17" spans="1:35" ht="15" customHeight="1">
      <c r="A17" s="258"/>
      <c r="B17" s="70">
        <v>30</v>
      </c>
      <c r="C17" s="71">
        <v>357</v>
      </c>
      <c r="D17" s="72">
        <v>607</v>
      </c>
      <c r="E17" s="71">
        <v>308</v>
      </c>
      <c r="F17" s="72">
        <v>524</v>
      </c>
      <c r="G17" s="71">
        <v>253</v>
      </c>
      <c r="H17" s="72">
        <v>430</v>
      </c>
      <c r="I17" s="126">
        <f>IF(I7&gt;=1090,E17+(C17-E17)/68*(I7-1090),G17+(E17-G17)/91*(I7-999))</f>
        <v>351.23529411764707</v>
      </c>
      <c r="J17" s="127">
        <f>IF(I7&gt;=1090,F17+(D17-F17)/68*(I7-1090),H17+(F17-H17)/91*(I7-999))</f>
        <v>597.23529411764707</v>
      </c>
      <c r="K17" s="131">
        <f>IF(AND(M7&gt;20,M7&lt;=30),I16+(I17-I16)/10*(M7-20),0)</f>
        <v>0</v>
      </c>
      <c r="L17" s="131">
        <f>IF(AND(M7&gt;20,M7&lt;=30),J16+(J17-J16)/10*(M7-20),0)</f>
        <v>0</v>
      </c>
      <c r="M17" s="198"/>
      <c r="N17" s="202"/>
      <c r="O17" s="266"/>
      <c r="P17" s="269"/>
      <c r="Q17" s="143"/>
      <c r="R17" s="212"/>
      <c r="S17" s="70">
        <v>30</v>
      </c>
      <c r="T17" s="73">
        <v>191</v>
      </c>
      <c r="U17" s="74">
        <v>433</v>
      </c>
      <c r="V17" s="131">
        <f>IF(AND(M7&gt;20,M7&lt;=30),T16+(T17-T16)/10*(M7-20),0)</f>
        <v>0</v>
      </c>
      <c r="W17" s="131">
        <f>IF(AND(M7&gt;20,M7&lt;=30),U16+(U17-U16)/10*(M7-20),0)</f>
        <v>0</v>
      </c>
      <c r="X17" s="198"/>
      <c r="Y17" s="202"/>
      <c r="Z17" s="260"/>
      <c r="AA17" s="262"/>
      <c r="AB17" s="92"/>
      <c r="AC17" s="5"/>
      <c r="AD17" s="5"/>
      <c r="AE17" s="5"/>
      <c r="AF17" s="5"/>
      <c r="AG17" s="5"/>
      <c r="AH17" s="5"/>
      <c r="AI17" s="5"/>
    </row>
    <row r="18" spans="1:35" ht="15.75" customHeight="1" thickBot="1">
      <c r="A18" s="259"/>
      <c r="B18" s="75">
        <v>40</v>
      </c>
      <c r="C18" s="76">
        <v>384</v>
      </c>
      <c r="D18" s="77">
        <v>651</v>
      </c>
      <c r="E18" s="76">
        <v>331</v>
      </c>
      <c r="F18" s="77">
        <v>562</v>
      </c>
      <c r="G18" s="76">
        <v>271</v>
      </c>
      <c r="H18" s="77">
        <v>459</v>
      </c>
      <c r="I18" s="128">
        <f>IF(I7&gt;=1090,E18+(C18-E18)/68*(I7-1090),G18+(E18-G18)/91*(I7-999))</f>
        <v>377.76470588235293</v>
      </c>
      <c r="J18" s="129">
        <f>IF(I7&gt;=1090,F18+(D18-F18)/68*(I7-1090),H18+(F18-H18)/91*(I7-999))</f>
        <v>640.52941176470586</v>
      </c>
      <c r="K18" s="140">
        <f>IF(AND(M7&gt;30,M7&lt;=40),I17+(I18-I17)/10*(M7-30),0)</f>
        <v>0</v>
      </c>
      <c r="L18" s="140">
        <f>IF(AND(M7&gt;30,M7&lt;=40),J17+(J18-J17)/10*(M7-30),0)</f>
        <v>0</v>
      </c>
      <c r="M18" s="200"/>
      <c r="N18" s="204"/>
      <c r="O18" s="266"/>
      <c r="P18" s="269"/>
      <c r="Q18" s="143"/>
      <c r="R18" s="213"/>
      <c r="S18" s="75">
        <v>40</v>
      </c>
      <c r="T18" s="78">
        <v>198</v>
      </c>
      <c r="U18" s="79">
        <v>442</v>
      </c>
      <c r="V18" s="140">
        <f>IF(AND(M7&gt;30,M7&lt;=40),T17+(T18-T17)/10*(M7-30),0)</f>
        <v>0</v>
      </c>
      <c r="W18" s="140">
        <f>IF(AND(M7&gt;30,M7&lt;=40),U17+(U18-U17)/10*(M7-30),0)</f>
        <v>0</v>
      </c>
      <c r="X18" s="200"/>
      <c r="Y18" s="204"/>
      <c r="Z18" s="260"/>
      <c r="AA18" s="262"/>
      <c r="AB18" s="92"/>
      <c r="AC18" s="5"/>
      <c r="AD18" s="5"/>
      <c r="AE18" s="5"/>
      <c r="AF18" s="5"/>
      <c r="AG18" s="5"/>
      <c r="AH18" s="5"/>
      <c r="AI18" s="5"/>
    </row>
    <row r="19" spans="1:35" ht="15" customHeight="1">
      <c r="A19" s="256">
        <v>2000</v>
      </c>
      <c r="B19" s="63">
        <v>0</v>
      </c>
      <c r="C19" s="64">
        <v>312</v>
      </c>
      <c r="D19" s="65">
        <v>535</v>
      </c>
      <c r="E19" s="64">
        <v>270</v>
      </c>
      <c r="F19" s="65">
        <v>463</v>
      </c>
      <c r="G19" s="64">
        <v>221</v>
      </c>
      <c r="H19" s="65">
        <v>381</v>
      </c>
      <c r="I19" s="124">
        <f>IF(I7&gt;=1090,E19+(C19-E19)/68*(I7-1090),G19+(E19-G19)/91*(I7-999))</f>
        <v>307.05882352941177</v>
      </c>
      <c r="J19" s="125">
        <f>IF(I7&gt;=1090,F19+(D19-F19)/68*(I7-1090),H19+(F19-H19)/91*(I7-999))</f>
        <v>526.52941176470586</v>
      </c>
      <c r="K19" s="139">
        <f>IF(M7&lt;=0,I19,0)</f>
        <v>0</v>
      </c>
      <c r="L19" s="139">
        <f>IF(M7&lt;=0,J19,0)</f>
        <v>0</v>
      </c>
      <c r="M19" s="205">
        <f>SUM(K19:K23)</f>
        <v>332.47058823529414</v>
      </c>
      <c r="N19" s="207">
        <f>SUM(L19:L23)</f>
        <v>566.82352941176464</v>
      </c>
      <c r="O19" s="266"/>
      <c r="P19" s="269"/>
      <c r="Q19" s="143"/>
      <c r="R19" s="210">
        <v>2000</v>
      </c>
      <c r="S19" s="63">
        <v>0</v>
      </c>
      <c r="T19" s="66">
        <v>178</v>
      </c>
      <c r="U19" s="67">
        <v>413</v>
      </c>
      <c r="V19" s="139">
        <f>IF(M7&lt;=0,T19,0)</f>
        <v>0</v>
      </c>
      <c r="W19" s="139">
        <f>IF(M7&lt;=0,U19,0)</f>
        <v>0</v>
      </c>
      <c r="X19" s="205">
        <f>SUM(V19:V23)</f>
        <v>186</v>
      </c>
      <c r="Y19" s="207">
        <f>SUM(W19:W23)</f>
        <v>422</v>
      </c>
      <c r="Z19" s="260"/>
      <c r="AA19" s="262"/>
      <c r="AB19" s="92"/>
      <c r="AC19" s="5"/>
      <c r="AD19" s="5"/>
      <c r="AE19" s="5"/>
      <c r="AF19" s="5"/>
      <c r="AG19" s="5"/>
      <c r="AH19" s="5"/>
      <c r="AI19" s="5"/>
    </row>
    <row r="20" spans="1:35" ht="15" customHeight="1">
      <c r="A20" s="257"/>
      <c r="B20" s="117">
        <v>10</v>
      </c>
      <c r="C20" s="118">
        <v>338</v>
      </c>
      <c r="D20" s="119">
        <v>576</v>
      </c>
      <c r="E20" s="118">
        <v>291</v>
      </c>
      <c r="F20" s="119">
        <v>498</v>
      </c>
      <c r="G20" s="118">
        <v>239</v>
      </c>
      <c r="H20" s="119">
        <v>408</v>
      </c>
      <c r="I20" s="126">
        <f>IF(I7&gt;=1090,E20+(C20-E20)/68*(I7-1090),G20+(E20-G20)/91*(I7-999))</f>
        <v>332.47058823529414</v>
      </c>
      <c r="J20" s="127">
        <f>IF(I7&gt;=1090,F20+(D20-F20)/68*(I7-1090),H20+(F20-H20)/91*(I7-999))</f>
        <v>566.82352941176464</v>
      </c>
      <c r="K20" s="131">
        <f>IF(AND(M7&gt;0,M7&lt;=10),I19+((I20-I19)/10*M7),0)</f>
        <v>332.47058823529414</v>
      </c>
      <c r="L20" s="131">
        <f>IF(AND(M7&gt;0,M7&lt;=10),J19+((J20-J19)/10*M7),0)</f>
        <v>566.82352941176464</v>
      </c>
      <c r="M20" s="206"/>
      <c r="N20" s="208"/>
      <c r="O20" s="266"/>
      <c r="P20" s="269"/>
      <c r="Q20" s="143"/>
      <c r="R20" s="211"/>
      <c r="S20" s="117">
        <v>10</v>
      </c>
      <c r="T20" s="120">
        <v>186</v>
      </c>
      <c r="U20" s="121">
        <v>422</v>
      </c>
      <c r="V20" s="131">
        <f>IF(AND(M7&gt;0,M7&lt;=10),T19+((T20-T19)/10*M7),0)</f>
        <v>186</v>
      </c>
      <c r="W20" s="131">
        <f>IF(AND(M7&gt;0,M7&lt;=10),U19+((U20-U19)/10*M7),0)</f>
        <v>422</v>
      </c>
      <c r="X20" s="206"/>
      <c r="Y20" s="208"/>
      <c r="Z20" s="260"/>
      <c r="AA20" s="262"/>
      <c r="AB20" s="92"/>
      <c r="AC20" s="5"/>
      <c r="AD20" s="5"/>
      <c r="AE20" s="5"/>
      <c r="AF20" s="5"/>
      <c r="AG20" s="5"/>
      <c r="AH20" s="5"/>
      <c r="AI20" s="5"/>
    </row>
    <row r="21" spans="1:35" ht="15" customHeight="1">
      <c r="A21" s="257"/>
      <c r="B21" s="117">
        <v>20</v>
      </c>
      <c r="C21" s="118">
        <v>364</v>
      </c>
      <c r="D21" s="119">
        <v>620</v>
      </c>
      <c r="E21" s="118">
        <v>314</v>
      </c>
      <c r="F21" s="119">
        <v>536</v>
      </c>
      <c r="G21" s="118">
        <v>258</v>
      </c>
      <c r="H21" s="119">
        <v>437</v>
      </c>
      <c r="I21" s="126">
        <f>IF(I7&gt;=1090,E21+(C21-E21)/68*(I7-1090),G21+(E21-G21)/91*(I7-999))</f>
        <v>358.11764705882354</v>
      </c>
      <c r="J21" s="127">
        <f>IF(I7&gt;=1090,F21+(D21-F21)/68*(I7-1090),H21+(F21-H21)/91*(I7-999))</f>
        <v>610.11764705882354</v>
      </c>
      <c r="K21" s="131">
        <f>IF(AND(M7&gt;10,M7&lt;=20),I20+(I21-I20)/10*(M7-10),0)</f>
        <v>0</v>
      </c>
      <c r="L21" s="131">
        <f>IF(AND(M7&gt;10,M7&lt;=20),J20+(J21-J20)/10*(M7-10),0)</f>
        <v>0</v>
      </c>
      <c r="M21" s="206"/>
      <c r="N21" s="208"/>
      <c r="O21" s="266"/>
      <c r="P21" s="269"/>
      <c r="Q21" s="143"/>
      <c r="R21" s="211"/>
      <c r="S21" s="117">
        <v>20</v>
      </c>
      <c r="T21" s="120">
        <v>192</v>
      </c>
      <c r="U21" s="121">
        <v>433</v>
      </c>
      <c r="V21" s="131">
        <f>IF(AND(M7&gt;10,M7&lt;=20),T20+(T21-T20)/10*(M7-10),0)</f>
        <v>0</v>
      </c>
      <c r="W21" s="131">
        <f>IF(AND(M7&gt;10,M7&lt;=20),U20+(U21-U20)/10*(M7-10),0)</f>
        <v>0</v>
      </c>
      <c r="X21" s="206"/>
      <c r="Y21" s="208"/>
      <c r="Z21" s="260"/>
      <c r="AA21" s="262"/>
      <c r="AB21" s="92"/>
      <c r="AC21" s="5"/>
      <c r="AD21" s="5"/>
      <c r="AE21" s="5"/>
      <c r="AF21" s="5"/>
      <c r="AG21" s="5"/>
      <c r="AH21" s="5"/>
      <c r="AI21" s="5"/>
    </row>
    <row r="22" spans="1:35" ht="15" customHeight="1">
      <c r="A22" s="258"/>
      <c r="B22" s="70">
        <v>30</v>
      </c>
      <c r="C22" s="71">
        <v>392</v>
      </c>
      <c r="D22" s="72">
        <v>668</v>
      </c>
      <c r="E22" s="71">
        <v>338</v>
      </c>
      <c r="F22" s="72">
        <v>576</v>
      </c>
      <c r="G22" s="71">
        <v>276</v>
      </c>
      <c r="H22" s="72">
        <v>469</v>
      </c>
      <c r="I22" s="126">
        <f>IF(I7&gt;=1090,E22+(C22-E22)/68*(I7-1090),G22+(E22-G22)/91*(I7-999))</f>
        <v>385.64705882352939</v>
      </c>
      <c r="J22" s="127">
        <f>IF(I7&gt;=1090,F22+(D22-F22)/68*(I7-1090),H22+(F22-H22)/91*(I7-999))</f>
        <v>657.17647058823536</v>
      </c>
      <c r="K22" s="131">
        <f>IF(AND(M7&gt;20,M7&lt;=30),I21+(I22-I21)/10*(M7-20),0)</f>
        <v>0</v>
      </c>
      <c r="L22" s="131">
        <f>IF(AND(M7&gt;20,M7&lt;=30),J21+(J22-J21)/10*(M7-20),0)</f>
        <v>0</v>
      </c>
      <c r="M22" s="198"/>
      <c r="N22" s="202"/>
      <c r="O22" s="266"/>
      <c r="P22" s="269"/>
      <c r="Q22" s="143"/>
      <c r="R22" s="212"/>
      <c r="S22" s="70">
        <v>30</v>
      </c>
      <c r="T22" s="73">
        <v>198</v>
      </c>
      <c r="U22" s="74">
        <v>443</v>
      </c>
      <c r="V22" s="131">
        <f>IF(AND(M7&gt;20,M7&lt;=30),T21+(T22-T21)/10*(M7-20),0)</f>
        <v>0</v>
      </c>
      <c r="W22" s="131">
        <f>IF(AND(M7&gt;20,M7&lt;=30),U21+(U22-U21)/10*(M7-20),0)</f>
        <v>0</v>
      </c>
      <c r="X22" s="198"/>
      <c r="Y22" s="202"/>
      <c r="Z22" s="260"/>
      <c r="AA22" s="262"/>
      <c r="AB22" s="92"/>
      <c r="AC22" s="5"/>
      <c r="AD22" s="5"/>
      <c r="AE22" s="5"/>
      <c r="AF22" s="5"/>
      <c r="AG22" s="5"/>
      <c r="AH22" s="5"/>
      <c r="AI22" s="5"/>
    </row>
    <row r="23" spans="1:35" ht="15.75" customHeight="1" thickBot="1">
      <c r="A23" s="259"/>
      <c r="B23" s="75">
        <v>40</v>
      </c>
      <c r="C23" s="76">
        <v>421</v>
      </c>
      <c r="D23" s="77">
        <v>718</v>
      </c>
      <c r="E23" s="76">
        <v>363</v>
      </c>
      <c r="F23" s="77">
        <v>619</v>
      </c>
      <c r="G23" s="76">
        <v>297</v>
      </c>
      <c r="H23" s="77">
        <v>503</v>
      </c>
      <c r="I23" s="128">
        <f>IF(I7&gt;=1090,E23+(C23-E23)/68*(I7-1090),G23+(E23-G23)/91*(I7-999))</f>
        <v>414.1764705882353</v>
      </c>
      <c r="J23" s="129">
        <f>IF(I7&gt;=1090,F23+(D23-F23)/68*(I7-1090),H23+(F23-H23)/91*(I7-999))</f>
        <v>706.35294117647061</v>
      </c>
      <c r="K23" s="140">
        <f>IF(AND(M7&gt;30,M7&lt;=40),I22+(I23-I22)/10*(M7-30),0)</f>
        <v>0</v>
      </c>
      <c r="L23" s="140">
        <f>IF(AND(M7&gt;30,M7&lt;=40),J22+(J23-J22)/10*(M7-30),0)</f>
        <v>0</v>
      </c>
      <c r="M23" s="200"/>
      <c r="N23" s="209"/>
      <c r="O23" s="267"/>
      <c r="P23" s="270"/>
      <c r="Q23" s="144"/>
      <c r="R23" s="213"/>
      <c r="S23" s="75">
        <v>40</v>
      </c>
      <c r="T23" s="78">
        <v>204</v>
      </c>
      <c r="U23" s="79">
        <v>454</v>
      </c>
      <c r="V23" s="140">
        <f>IF(AND(M7&gt;30,M7&lt;=40),T22+(T23-T22)/10*(M7-30),0)</f>
        <v>0</v>
      </c>
      <c r="W23" s="140">
        <f>IF(AND(M7&gt;30,M7&lt;=40),U22+(U23-U22)/10*(M7-30),0)</f>
        <v>0</v>
      </c>
      <c r="X23" s="200"/>
      <c r="Y23" s="209"/>
      <c r="Z23" s="261"/>
      <c r="AA23" s="263"/>
      <c r="AB23" s="92"/>
      <c r="AC23" s="5"/>
      <c r="AD23" s="5"/>
      <c r="AE23" s="5"/>
      <c r="AF23" s="5"/>
      <c r="AG23" s="5"/>
      <c r="AH23" s="5"/>
      <c r="AI23" s="5"/>
    </row>
    <row r="24" spans="1:35" ht="15" customHeight="1">
      <c r="A24" s="256">
        <v>3000</v>
      </c>
      <c r="B24" s="63">
        <v>0</v>
      </c>
      <c r="C24" s="64">
        <v>343</v>
      </c>
      <c r="D24" s="65">
        <v>587</v>
      </c>
      <c r="E24" s="64">
        <v>296</v>
      </c>
      <c r="F24" s="65">
        <v>507</v>
      </c>
      <c r="G24" s="64">
        <v>242</v>
      </c>
      <c r="H24" s="65">
        <v>416</v>
      </c>
      <c r="I24" s="124">
        <f>IF(I7&gt;=1090,E24+(C24-E24)/68*(I7-1090),G24+(E24-G24)/91*(I7-999))</f>
        <v>337.47058823529414</v>
      </c>
      <c r="J24" s="125">
        <f>IF(I7&gt;=1090,F24+(D24-F24)/68*(I7-1090),H24+(F24-H24)/91*(I7-999))</f>
        <v>577.58823529411768</v>
      </c>
      <c r="K24" s="139">
        <f>IF(M7&lt;=0,I24,0)</f>
        <v>0</v>
      </c>
      <c r="L24" s="139">
        <f>IF(M7&lt;=0,J24,0)</f>
        <v>0</v>
      </c>
      <c r="M24" s="205">
        <f>SUM(K24:K28)</f>
        <v>364.11764705882354</v>
      </c>
      <c r="N24" s="201">
        <f>SUM(L24:L28)</f>
        <v>623.76470588235293</v>
      </c>
      <c r="O24" s="272"/>
      <c r="P24" s="5"/>
      <c r="Q24" s="89"/>
      <c r="R24" s="210">
        <v>3000</v>
      </c>
      <c r="S24" s="63">
        <v>0</v>
      </c>
      <c r="T24" s="66">
        <v>186</v>
      </c>
      <c r="U24" s="67">
        <v>422</v>
      </c>
      <c r="V24" s="139">
        <f>IF(M7&lt;=0,T24,0)</f>
        <v>0</v>
      </c>
      <c r="W24" s="139">
        <f>IF(M7&lt;=0,U24,0)</f>
        <v>0</v>
      </c>
      <c r="X24" s="205">
        <f>SUM(V24:V28)</f>
        <v>192</v>
      </c>
      <c r="Y24" s="201">
        <f>SUM(W24:W28)</f>
        <v>434</v>
      </c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ht="15" customHeight="1">
      <c r="A25" s="257"/>
      <c r="B25" s="117">
        <v>10</v>
      </c>
      <c r="C25" s="118">
        <v>370</v>
      </c>
      <c r="D25" s="119">
        <v>634</v>
      </c>
      <c r="E25" s="118">
        <v>320</v>
      </c>
      <c r="F25" s="119">
        <v>547</v>
      </c>
      <c r="G25" s="118">
        <v>262</v>
      </c>
      <c r="H25" s="119">
        <v>447</v>
      </c>
      <c r="I25" s="126">
        <f>IF(I7&gt;=1090,E25+(C25-E25)/68*(I7-1090),G25+(E25-G25)/91*(I7-999))</f>
        <v>364.11764705882354</v>
      </c>
      <c r="J25" s="127">
        <f>IF(I7&gt;=1090,F25+(D25-F25)/68*(I7-1090),H25+(F25-H25)/91*(I7-999))</f>
        <v>623.76470588235293</v>
      </c>
      <c r="K25" s="131">
        <f>IF(AND(M7&gt;0,M7&lt;=10),I24+((I25-I24)/10*M7),0)</f>
        <v>364.11764705882354</v>
      </c>
      <c r="L25" s="131">
        <f>IF(AND(M7&gt;0,M7&lt;=10),J24+((J25-J24)/10*M7),0)</f>
        <v>623.76470588235293</v>
      </c>
      <c r="M25" s="206"/>
      <c r="N25" s="208"/>
      <c r="O25" s="272"/>
      <c r="P25" s="5"/>
      <c r="Q25" s="89"/>
      <c r="R25" s="211"/>
      <c r="S25" s="117">
        <v>10</v>
      </c>
      <c r="T25" s="120">
        <v>192</v>
      </c>
      <c r="U25" s="121">
        <v>434</v>
      </c>
      <c r="V25" s="131">
        <f>IF(AND(M7&gt;0,M7&lt;=10),T24+((T25-T24)/10*M7),0)</f>
        <v>192</v>
      </c>
      <c r="W25" s="131">
        <f>IF(AND(M7&gt;0,M7&lt;=10),U24+((U25-U24)/10*M7),0)</f>
        <v>434</v>
      </c>
      <c r="X25" s="206"/>
      <c r="Y25" s="208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ht="15" customHeight="1">
      <c r="A26" s="257"/>
      <c r="B26" s="117">
        <v>20</v>
      </c>
      <c r="C26" s="118">
        <v>399</v>
      </c>
      <c r="D26" s="119">
        <v>683</v>
      </c>
      <c r="E26" s="118">
        <v>344</v>
      </c>
      <c r="F26" s="119">
        <v>588</v>
      </c>
      <c r="G26" s="118">
        <v>282</v>
      </c>
      <c r="H26" s="119">
        <v>479</v>
      </c>
      <c r="I26" s="126">
        <f>IF(I7&gt;=1090,E26+(C26-E26)/68*(I7-1090),G26+(E26-G26)/91*(I7-999))</f>
        <v>392.52941176470586</v>
      </c>
      <c r="J26" s="127">
        <f>IF(I7&gt;=1090,F26+(D26-F26)/68*(I7-1090),H26+(F26-H26)/91*(I7-999))</f>
        <v>671.82352941176464</v>
      </c>
      <c r="K26" s="131">
        <f>IF(AND(M7&gt;10,M7&lt;=20),I25+(I26-I25)/10*(M7-10),0)</f>
        <v>0</v>
      </c>
      <c r="L26" s="131">
        <f>IF(AND(M7&gt;10,M7&lt;=20),J25+(J26-J25)/10*(M7-10),0)</f>
        <v>0</v>
      </c>
      <c r="M26" s="206"/>
      <c r="N26" s="208"/>
      <c r="O26" s="272"/>
      <c r="P26" s="5"/>
      <c r="Q26" s="89"/>
      <c r="R26" s="211"/>
      <c r="S26" s="117">
        <v>20</v>
      </c>
      <c r="T26" s="120">
        <v>200</v>
      </c>
      <c r="U26" s="121">
        <v>445</v>
      </c>
      <c r="V26" s="131">
        <f>IF(AND(M7&gt;10,M7&lt;=20),T25+(T26-T25)/10*(M7-10),0)</f>
        <v>0</v>
      </c>
      <c r="W26" s="131">
        <f>IF(AND(M7&gt;10,M7&lt;=20),U25+(U26-U25)/10*(M7-10),0)</f>
        <v>0</v>
      </c>
      <c r="X26" s="206"/>
      <c r="Y26" s="208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ht="15" customHeight="1">
      <c r="A27" s="258"/>
      <c r="B27" s="70">
        <v>30</v>
      </c>
      <c r="C27" s="71">
        <v>430</v>
      </c>
      <c r="D27" s="72">
        <v>738</v>
      </c>
      <c r="E27" s="71">
        <v>370</v>
      </c>
      <c r="F27" s="72">
        <v>634</v>
      </c>
      <c r="G27" s="71">
        <v>303</v>
      </c>
      <c r="H27" s="72">
        <v>514</v>
      </c>
      <c r="I27" s="126">
        <f>IF(I7&gt;=1090,E27+(C27-E27)/68*(I7-1090),G27+(E27-G27)/91*(I7-999))</f>
        <v>422.94117647058823</v>
      </c>
      <c r="J27" s="127">
        <f>IF(I7&gt;=1090,F27+(D27-F27)/68*(I7-1090),H27+(F27-H27)/91*(I7-999))</f>
        <v>725.76470588235293</v>
      </c>
      <c r="K27" s="131">
        <f>IF(AND(M7&gt;20,M7&lt;=30),I26+(I27-I26)/10*(M7-20),0)</f>
        <v>0</v>
      </c>
      <c r="L27" s="131">
        <f>IF(AND(M7&gt;20,M7&lt;=30),J26+(J27-J26)/10*(M7-20),0)</f>
        <v>0</v>
      </c>
      <c r="M27" s="198"/>
      <c r="N27" s="202"/>
      <c r="O27" s="272"/>
      <c r="P27" s="5"/>
      <c r="Q27" s="89"/>
      <c r="R27" s="212"/>
      <c r="S27" s="70">
        <v>30</v>
      </c>
      <c r="T27" s="73">
        <v>206</v>
      </c>
      <c r="U27" s="74">
        <v>456</v>
      </c>
      <c r="V27" s="131">
        <f>IF(AND(M7&gt;20,M7&lt;=30),T26+(T27-T26)/10*(M7-20),0)</f>
        <v>0</v>
      </c>
      <c r="W27" s="131">
        <f>IF(AND(M7&gt;20,M7&lt;=30),U26+(U27-U26)/10*(M7-20),0)</f>
        <v>0</v>
      </c>
      <c r="X27" s="198"/>
      <c r="Y27" s="202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 ht="15.75" customHeight="1" thickBot="1">
      <c r="A28" s="273"/>
      <c r="B28" s="101">
        <v>40</v>
      </c>
      <c r="C28" s="102">
        <v>462</v>
      </c>
      <c r="D28" s="103">
        <v>794</v>
      </c>
      <c r="E28" s="102">
        <v>398</v>
      </c>
      <c r="F28" s="103">
        <v>680</v>
      </c>
      <c r="G28" s="102">
        <v>325</v>
      </c>
      <c r="H28" s="103">
        <v>550</v>
      </c>
      <c r="I28" s="128">
        <f>IF(I7&gt;=1090,E28+(C28-E28)/68*(I7-1090),G28+(E28-G28)/91*(I7-999))</f>
        <v>454.47058823529414</v>
      </c>
      <c r="J28" s="129">
        <f>IF(I7&gt;=1090,F28+(D28-F28)/68*(I7-1090),H28+(F28-H28)/91*(I7-999))</f>
        <v>780.58823529411768</v>
      </c>
      <c r="K28" s="140">
        <f>IF(AND(M7&gt;30,M7&lt;=40),I27+(I28-I27)/10*(M7-30),0)</f>
        <v>0</v>
      </c>
      <c r="L28" s="140">
        <f>IF(AND(M7&gt;30,M7&lt;=40),J27+(J28-J27)/10*(M7-30),0)</f>
        <v>0</v>
      </c>
      <c r="M28" s="214"/>
      <c r="N28" s="209"/>
      <c r="O28" s="272"/>
      <c r="P28" s="5"/>
      <c r="Q28" s="89"/>
      <c r="R28" s="213"/>
      <c r="S28" s="75">
        <v>40</v>
      </c>
      <c r="T28" s="78">
        <v>212</v>
      </c>
      <c r="U28" s="79">
        <v>466</v>
      </c>
      <c r="V28" s="140">
        <f>IF(AND(M7&gt;30,M7&lt;=40),T27+(T28-T27)/10*(M7-30),0)</f>
        <v>0</v>
      </c>
      <c r="W28" s="140">
        <f>IF(AND(M7&gt;30,M7&lt;=40),U27+(U28-U27)/10*(M7-30),0)</f>
        <v>0</v>
      </c>
      <c r="X28" s="214"/>
      <c r="Y28" s="209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spans="1:35" ht="15" customHeight="1">
      <c r="A29" s="256">
        <v>4000</v>
      </c>
      <c r="B29" s="63">
        <v>0</v>
      </c>
      <c r="C29" s="64">
        <v>376</v>
      </c>
      <c r="D29" s="65">
        <v>646</v>
      </c>
      <c r="E29" s="64">
        <v>325</v>
      </c>
      <c r="F29" s="65">
        <v>558</v>
      </c>
      <c r="G29" s="64">
        <v>265</v>
      </c>
      <c r="H29" s="65">
        <v>454</v>
      </c>
      <c r="I29" s="124">
        <f>IF(I7&gt;=1090,E29+(C29-E29)/68*(I7-1090),G29+(E29-G29)/91*(I7-999))</f>
        <v>370</v>
      </c>
      <c r="J29" s="125">
        <f>IF(I7&gt;=1090,F29+(D29-F29)/68*(I7-1090),H29+(F29-H29)/91*(I7-999))</f>
        <v>635.64705882352939</v>
      </c>
      <c r="K29" s="139">
        <f>IF(M7&lt;=0,I29,0)</f>
        <v>0</v>
      </c>
      <c r="L29" s="139">
        <f>IF(M7&lt;=0,J29,0)</f>
        <v>0</v>
      </c>
      <c r="M29" s="205">
        <f>SUM(K29:K33)</f>
        <v>400.41176470588232</v>
      </c>
      <c r="N29" s="201">
        <f>SUM(L29:L33)</f>
        <v>662</v>
      </c>
      <c r="O29" s="272"/>
      <c r="P29" s="5"/>
      <c r="Q29" s="89"/>
      <c r="R29" s="210">
        <v>4000</v>
      </c>
      <c r="S29" s="63">
        <v>0</v>
      </c>
      <c r="T29" s="66">
        <v>192</v>
      </c>
      <c r="U29" s="67">
        <v>434</v>
      </c>
      <c r="V29" s="139">
        <f>IF(M7&lt;=0,T29,0)</f>
        <v>0</v>
      </c>
      <c r="W29" s="139">
        <f>IF(M7&lt;=0,U29,0)</f>
        <v>0</v>
      </c>
      <c r="X29" s="205">
        <f>SUM(V29:V33)</f>
        <v>200</v>
      </c>
      <c r="Y29" s="201">
        <f>SUM(W29:W33)</f>
        <v>445</v>
      </c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 ht="15" customHeight="1">
      <c r="A30" s="257"/>
      <c r="B30" s="117">
        <v>10</v>
      </c>
      <c r="C30" s="118">
        <v>407</v>
      </c>
      <c r="D30" s="119">
        <v>670</v>
      </c>
      <c r="E30" s="118">
        <v>351</v>
      </c>
      <c r="F30" s="119">
        <v>602</v>
      </c>
      <c r="G30" s="118">
        <v>287</v>
      </c>
      <c r="H30" s="119">
        <v>489</v>
      </c>
      <c r="I30" s="126">
        <f>IF(I7&gt;=1090,E30+(C30-E30)/68*(I7-1090),G30+(E30-G30)/91*(I7-999))</f>
        <v>400.41176470588232</v>
      </c>
      <c r="J30" s="127">
        <f>IF(I7&gt;=1090,F30+(D30-F30)/68*(I7-1090),H30+(F30-H30)/91*(I7-999))</f>
        <v>662</v>
      </c>
      <c r="K30" s="131">
        <f>IF(AND(M7&gt;0,M7&lt;=10),I29+((I30-I29)/10*M7),0)</f>
        <v>400.41176470588232</v>
      </c>
      <c r="L30" s="131">
        <f>IF(AND(M7&gt;0,M7&lt;=10),J29+((J30-J29)/10*M7),0)</f>
        <v>662</v>
      </c>
      <c r="M30" s="206"/>
      <c r="N30" s="208"/>
      <c r="O30" s="272"/>
      <c r="P30" s="5"/>
      <c r="Q30" s="89"/>
      <c r="R30" s="211"/>
      <c r="S30" s="117">
        <v>10</v>
      </c>
      <c r="T30" s="120">
        <v>200</v>
      </c>
      <c r="U30" s="121">
        <v>445</v>
      </c>
      <c r="V30" s="131">
        <f>IF(AND(M7&gt;0,M7&lt;=10),T29+((T30-T29)/10*M7),0)</f>
        <v>200</v>
      </c>
      <c r="W30" s="131">
        <f>IF(AND(M7&gt;0,M7&lt;=10),U29+((U30-U29)/10*M7),0)</f>
        <v>445</v>
      </c>
      <c r="X30" s="206"/>
      <c r="Y30" s="208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 ht="15" customHeight="1">
      <c r="A31" s="257"/>
      <c r="B31" s="117">
        <v>20</v>
      </c>
      <c r="C31" s="118">
        <v>439</v>
      </c>
      <c r="D31" s="119">
        <v>756</v>
      </c>
      <c r="E31" s="118">
        <v>378</v>
      </c>
      <c r="F31" s="119">
        <v>649</v>
      </c>
      <c r="G31" s="118">
        <v>308</v>
      </c>
      <c r="H31" s="119">
        <v>526</v>
      </c>
      <c r="I31" s="126">
        <f>IF(I7&gt;=1090,E31+(C31-E31)/68*(I7-1090),G31+(E31-G31)/91*(I7-999))</f>
        <v>431.8235294117647</v>
      </c>
      <c r="J31" s="127">
        <f>IF(I7&gt;=1090,F31+(D31-F31)/68*(I7-1090),H31+(F31-H31)/91*(I7-999))</f>
        <v>743.41176470588232</v>
      </c>
      <c r="K31" s="131">
        <f>IF(AND(M7&gt;10,M7&lt;=20),I30+(I31-I30)/10*(M7-10),0)</f>
        <v>0</v>
      </c>
      <c r="L31" s="131">
        <f>IF(AND(M7&gt;10,M7&lt;=20),J30+(J31-J30)/10*(M7-10),0)</f>
        <v>0</v>
      </c>
      <c r="M31" s="206"/>
      <c r="N31" s="208"/>
      <c r="O31" s="272"/>
      <c r="P31" s="5"/>
      <c r="Q31" s="89"/>
      <c r="R31" s="211"/>
      <c r="S31" s="117">
        <v>20</v>
      </c>
      <c r="T31" s="120">
        <v>206</v>
      </c>
      <c r="U31" s="121">
        <v>456</v>
      </c>
      <c r="V31" s="131">
        <f>IF(AND(M7&gt;10,M7&lt;=20),T30+(T31-T30)/10*(M7-10),0)</f>
        <v>0</v>
      </c>
      <c r="W31" s="131">
        <f>IF(AND(M7&gt;10,M7&lt;=20),U30+(U31-U30)/10*(M7-10),0)</f>
        <v>0</v>
      </c>
      <c r="X31" s="206"/>
      <c r="Y31" s="208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ht="15" customHeight="1">
      <c r="A32" s="258"/>
      <c r="B32" s="70">
        <v>30</v>
      </c>
      <c r="C32" s="71">
        <v>472</v>
      </c>
      <c r="D32" s="72">
        <v>818</v>
      </c>
      <c r="E32" s="71">
        <v>407</v>
      </c>
      <c r="F32" s="72">
        <v>670</v>
      </c>
      <c r="G32" s="71">
        <v>332</v>
      </c>
      <c r="H32" s="72">
        <v>565</v>
      </c>
      <c r="I32" s="126">
        <f>IF(I7&gt;=1090,E32+(C32-E32)/68*(I7-1090),G32+(E32-G32)/91*(I7-999))</f>
        <v>464.35294117647061</v>
      </c>
      <c r="J32" s="127">
        <f>IF(I7&gt;=1090,F32+(D32-F32)/68*(I7-1090),H32+(F32-H32)/91*(I7-999))</f>
        <v>800.58823529411757</v>
      </c>
      <c r="K32" s="131">
        <f>IF(AND(M7&gt;20,M7&lt;=30),I31+(I32-I31)/10*(M7-20),0)</f>
        <v>0</v>
      </c>
      <c r="L32" s="131">
        <f>IF(AND(M7&gt;20,M7&lt;=30),J31+(J32-J31)/10*(M7-20),0)</f>
        <v>0</v>
      </c>
      <c r="M32" s="198"/>
      <c r="N32" s="202"/>
      <c r="O32" s="272"/>
      <c r="P32" s="5"/>
      <c r="Q32" s="89"/>
      <c r="R32" s="212"/>
      <c r="S32" s="70">
        <v>30</v>
      </c>
      <c r="T32" s="73">
        <v>213</v>
      </c>
      <c r="U32" s="74">
        <v>468</v>
      </c>
      <c r="V32" s="131">
        <f>IF(AND(M7&gt;20,M7&lt;=30),T31+(T32-T31)/10*(M7-20),0)</f>
        <v>0</v>
      </c>
      <c r="W32" s="131">
        <f>IF(AND(M7&gt;20,M7&lt;=30),U31+(U32-U31)/10*(M7-20),0)</f>
        <v>0</v>
      </c>
      <c r="X32" s="198"/>
      <c r="Y32" s="202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35" ht="15.75" customHeight="1" thickBot="1">
      <c r="A33" s="273"/>
      <c r="B33" s="101">
        <v>40</v>
      </c>
      <c r="C33" s="102">
        <v>506</v>
      </c>
      <c r="D33" s="103">
        <v>878</v>
      </c>
      <c r="E33" s="102">
        <v>436</v>
      </c>
      <c r="F33" s="103">
        <v>748</v>
      </c>
      <c r="G33" s="102">
        <v>355</v>
      </c>
      <c r="H33" s="103">
        <v>602</v>
      </c>
      <c r="I33" s="128">
        <f>IF(I7&gt;=1090,E33+(C33-E33)/68*(I7-1090),G33+(E33-G33)/91*(I7-999))</f>
        <v>497.76470588235293</v>
      </c>
      <c r="J33" s="129">
        <f>IF(I7&gt;=1090,F33+(D33-F33)/68*(I7-1090),H33+(F33-H33)/91*(I7-999))</f>
        <v>862.70588235294122</v>
      </c>
      <c r="K33" s="140">
        <f>IF(AND(M7&gt;30,M7&lt;=40),I32+(I33-I32)/10*(M7-30),0)</f>
        <v>0</v>
      </c>
      <c r="L33" s="140">
        <f>IF(AND(M7&gt;30,M7&lt;=40),J32+(J33-J32)/10*(M7-30),0)</f>
        <v>0</v>
      </c>
      <c r="M33" s="214"/>
      <c r="N33" s="209"/>
      <c r="O33" s="272"/>
      <c r="P33" s="5"/>
      <c r="Q33" s="89"/>
      <c r="R33" s="213"/>
      <c r="S33" s="75">
        <v>40</v>
      </c>
      <c r="T33" s="78">
        <v>221</v>
      </c>
      <c r="U33" s="79">
        <v>479</v>
      </c>
      <c r="V33" s="140">
        <f>IF(AND(M7&gt;30,M7&lt;=40),T32+(T33-T32)/10*(M7-30),0)</f>
        <v>0</v>
      </c>
      <c r="W33" s="140">
        <f>IF(AND(M7&gt;30,M7&lt;=40),U32+(U33-U32)/10*(M7-30),0)</f>
        <v>0</v>
      </c>
      <c r="X33" s="214"/>
      <c r="Y33" s="209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35" ht="15" customHeight="1">
      <c r="A34" s="256">
        <v>5000</v>
      </c>
      <c r="B34" s="63">
        <v>0</v>
      </c>
      <c r="C34" s="64">
        <v>413</v>
      </c>
      <c r="D34" s="65">
        <v>715</v>
      </c>
      <c r="E34" s="64">
        <v>357</v>
      </c>
      <c r="F34" s="65">
        <v>614</v>
      </c>
      <c r="G34" s="64">
        <v>291</v>
      </c>
      <c r="H34" s="65">
        <v>498</v>
      </c>
      <c r="I34" s="124">
        <f>IF(I7&gt;=1090,E34+(C34-E34)/68*(I7-1090),G34+(E34-G34)/91*(I7-999))</f>
        <v>406.41176470588232</v>
      </c>
      <c r="J34" s="125">
        <f>IF(I7&gt;=1090,F34+(D34-F34)/68*(I7-1090),H34+(F34-H34)/91*(I7-999))</f>
        <v>703.11764705882354</v>
      </c>
      <c r="K34" s="139">
        <f>IF(M7&lt;=0,I34,0)</f>
        <v>0</v>
      </c>
      <c r="L34" s="139">
        <f>IF(M7&lt;=0,J34,0)</f>
        <v>0</v>
      </c>
      <c r="M34" s="205">
        <f>SUM(K34:K38)</f>
        <v>439.8235294117647</v>
      </c>
      <c r="N34" s="201">
        <f>SUM(L34:L38)</f>
        <v>762.82352941176464</v>
      </c>
      <c r="O34" s="272"/>
      <c r="P34" s="5"/>
      <c r="Q34" s="89"/>
      <c r="R34" s="210">
        <v>5000</v>
      </c>
      <c r="S34" s="63">
        <v>0</v>
      </c>
      <c r="T34" s="66">
        <v>200</v>
      </c>
      <c r="U34" s="67">
        <v>445</v>
      </c>
      <c r="V34" s="139">
        <f>IF(M7&lt;=0,T34,0)</f>
        <v>0</v>
      </c>
      <c r="W34" s="139">
        <f>IF(M7&lt;=0,U34,0)</f>
        <v>0</v>
      </c>
      <c r="X34" s="205">
        <f>SUM(V34:V38)</f>
        <v>207</v>
      </c>
      <c r="Y34" s="201">
        <f>SUM(W34:W38)</f>
        <v>457</v>
      </c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35" ht="15" customHeight="1">
      <c r="A35" s="257"/>
      <c r="B35" s="117">
        <v>10</v>
      </c>
      <c r="C35" s="118">
        <v>447</v>
      </c>
      <c r="D35" s="119">
        <v>776</v>
      </c>
      <c r="E35" s="118">
        <v>386</v>
      </c>
      <c r="F35" s="119">
        <v>664</v>
      </c>
      <c r="G35" s="118">
        <v>314</v>
      </c>
      <c r="H35" s="119">
        <v>538</v>
      </c>
      <c r="I35" s="126">
        <f>IF(I7&gt;=1090,E35+(C35-E35)/68*(I7-1090),G35+(E35-G35)/91*(I7-999))</f>
        <v>439.8235294117647</v>
      </c>
      <c r="J35" s="127">
        <f>IF(I7&gt;=1090,F35+(D35-F35)/68*(I7-1090),H35+(F35-H35)/91*(I7-999))</f>
        <v>762.82352941176464</v>
      </c>
      <c r="K35" s="131">
        <f>IF(AND(M7&gt;0,M7&lt;=10),I34+((I35-I34)/10*M7),0)</f>
        <v>439.8235294117647</v>
      </c>
      <c r="L35" s="131">
        <f>IF(AND(M7&gt;0,M7&lt;=10),J34+((J35-J34)/10*M7),0)</f>
        <v>762.82352941176464</v>
      </c>
      <c r="M35" s="206"/>
      <c r="N35" s="208"/>
      <c r="O35" s="272"/>
      <c r="P35" s="5"/>
      <c r="Q35" s="89"/>
      <c r="R35" s="211"/>
      <c r="S35" s="117">
        <v>10</v>
      </c>
      <c r="T35" s="120">
        <v>207</v>
      </c>
      <c r="U35" s="121">
        <v>457</v>
      </c>
      <c r="V35" s="131">
        <f>IF(AND(M7&gt;0,M7&lt;=10),T34+((T35-T34)/10*M7),0)</f>
        <v>207</v>
      </c>
      <c r="W35" s="131">
        <f>IF(AND(M7&gt;0,M7&lt;=10),U34+((U35-U34)/10*M7),0)</f>
        <v>457</v>
      </c>
      <c r="X35" s="206"/>
      <c r="Y35" s="208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35" ht="15" customHeight="1">
      <c r="A36" s="257"/>
      <c r="B36" s="117">
        <v>20</v>
      </c>
      <c r="C36" s="118">
        <v>483</v>
      </c>
      <c r="D36" s="119">
        <v>840</v>
      </c>
      <c r="E36" s="118">
        <v>415</v>
      </c>
      <c r="F36" s="119">
        <v>718</v>
      </c>
      <c r="G36" s="118">
        <v>338</v>
      </c>
      <c r="H36" s="119">
        <v>579</v>
      </c>
      <c r="I36" s="126">
        <f>IF(I7&gt;=1090,E36+(C36-E36)/68*(I7-1090),G36+(E36-G36)/91*(I7-999))</f>
        <v>475</v>
      </c>
      <c r="J36" s="127">
        <f>IF(I7&gt;=1090,F36+(D36-F36)/68*(I7-1090),H36+(F36-H36)/91*(I7-999))</f>
        <v>825.64705882352939</v>
      </c>
      <c r="K36" s="131">
        <f>IF(AND(M7&gt;10,M7&lt;=20),I35+(I36-I35)/10*(M7-10),0)</f>
        <v>0</v>
      </c>
      <c r="L36" s="131">
        <f>IF(AND(M7&gt;10,M7&lt;=20),J35+(J36-J35)/10*(M7-10),0)</f>
        <v>0</v>
      </c>
      <c r="M36" s="206"/>
      <c r="N36" s="208"/>
      <c r="O36" s="272"/>
      <c r="P36" s="5"/>
      <c r="Q36" s="89"/>
      <c r="R36" s="211"/>
      <c r="S36" s="117">
        <v>20</v>
      </c>
      <c r="T36" s="120">
        <v>215</v>
      </c>
      <c r="U36" s="121">
        <v>468</v>
      </c>
      <c r="V36" s="131">
        <f>IF(AND(M7&gt;10,M7&lt;=20),T35+(T36-T35)/10*(M7-10),0)</f>
        <v>0</v>
      </c>
      <c r="W36" s="131">
        <f>IF(AND(M7&gt;10,M7&lt;=20),U35+(U36-U35)/10*(M7-10),0)</f>
        <v>0</v>
      </c>
      <c r="X36" s="206"/>
      <c r="Y36" s="208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spans="1:35" ht="15" customHeight="1">
      <c r="A37" s="258"/>
      <c r="B37" s="70">
        <v>30</v>
      </c>
      <c r="C37" s="71">
        <v>520</v>
      </c>
      <c r="D37" s="72">
        <v>907</v>
      </c>
      <c r="E37" s="71">
        <v>447</v>
      </c>
      <c r="F37" s="72">
        <v>771</v>
      </c>
      <c r="G37" s="71">
        <v>364</v>
      </c>
      <c r="H37" s="72">
        <v>620</v>
      </c>
      <c r="I37" s="126">
        <f>IF(I7&gt;=1090,E37+(C37-E37)/68*(I7-1090),G37+(E37-G37)/91*(I7-999))</f>
        <v>511.41176470588232</v>
      </c>
      <c r="J37" s="127">
        <f>IF(I7&gt;=1090,F37+(D37-F37)/68*(I7-1090),H37+(F37-H37)/91*(I7-999))</f>
        <v>891</v>
      </c>
      <c r="K37" s="131">
        <f>IF(AND(M7&gt;20,M7&lt;=30),I36+(I37-I36)/10*(M7-20),0)</f>
        <v>0</v>
      </c>
      <c r="L37" s="131">
        <f>IF(AND(M7&gt;20,M7&lt;=30),J36+(J37-J36)/10*(M7-20),0)</f>
        <v>0</v>
      </c>
      <c r="M37" s="198"/>
      <c r="N37" s="202"/>
      <c r="O37" s="272"/>
      <c r="P37" s="5"/>
      <c r="Q37" s="89"/>
      <c r="R37" s="212"/>
      <c r="S37" s="70">
        <v>30</v>
      </c>
      <c r="T37" s="73">
        <v>221</v>
      </c>
      <c r="U37" s="74">
        <v>480</v>
      </c>
      <c r="V37" s="131">
        <f>IF(AND(M7&gt;20,M7&lt;=30),T36+(T37-T36)/10*(M7-20),0)</f>
        <v>0</v>
      </c>
      <c r="W37" s="131">
        <f>IF(AND(M7&gt;20,M7&lt;=30),U36+(U37-U36)/10*(M7-20),0)</f>
        <v>0</v>
      </c>
      <c r="X37" s="198"/>
      <c r="Y37" s="202"/>
      <c r="Z37" s="5"/>
      <c r="AA37" s="5"/>
      <c r="AB37" s="5"/>
      <c r="AC37" s="5"/>
      <c r="AD37" s="5"/>
      <c r="AE37" s="5"/>
      <c r="AF37" s="5"/>
      <c r="AG37" s="5"/>
      <c r="AH37" s="5"/>
      <c r="AI37" s="5"/>
    </row>
    <row r="38" spans="1:35" ht="15.75" customHeight="1" thickBot="1">
      <c r="A38" s="273"/>
      <c r="B38" s="101">
        <v>40</v>
      </c>
      <c r="C38" s="102">
        <v>556</v>
      </c>
      <c r="D38" s="103">
        <v>977</v>
      </c>
      <c r="E38" s="102">
        <v>479</v>
      </c>
      <c r="F38" s="103">
        <v>828</v>
      </c>
      <c r="G38" s="102">
        <v>389</v>
      </c>
      <c r="H38" s="103">
        <v>663</v>
      </c>
      <c r="I38" s="128">
        <f>IF(I7&gt;=1090,E38+(C38-E38)/68*(I7-1090),G38+(E38-G38)/91*(I7-999))</f>
        <v>546.94117647058829</v>
      </c>
      <c r="J38" s="129">
        <f>IF(I7&gt;=1090,F38+(D38-F38)/68*(I7-1090),H38+(F38-H38)/91*(I7-999))</f>
        <v>959.47058823529414</v>
      </c>
      <c r="K38" s="140">
        <f>IF(AND(M7&gt;30,M7&lt;=40),I37+(I38-I37)/10*(M7-30),0)</f>
        <v>0</v>
      </c>
      <c r="L38" s="140">
        <f>IF(AND(M7&gt;30,M7&lt;=40),J37+(J38-J37)/10*(M7-30),0)</f>
        <v>0</v>
      </c>
      <c r="M38" s="214"/>
      <c r="N38" s="209"/>
      <c r="O38" s="272"/>
      <c r="P38" s="5"/>
      <c r="Q38" s="89"/>
      <c r="R38" s="213"/>
      <c r="S38" s="75">
        <v>40</v>
      </c>
      <c r="T38" s="78">
        <v>229</v>
      </c>
      <c r="U38" s="79">
        <v>492</v>
      </c>
      <c r="V38" s="140">
        <f>IF(AND(M7&gt;30,M7&lt;=40),T37+(T38-T37)/10*(M7-30),0)</f>
        <v>0</v>
      </c>
      <c r="W38" s="140">
        <f>IF(AND(M7&gt;30,M7&lt;=40),U37+(U38-U37)/10*(M7-30),0)</f>
        <v>0</v>
      </c>
      <c r="X38" s="214"/>
      <c r="Y38" s="209"/>
      <c r="Z38" s="5"/>
      <c r="AA38" s="5"/>
      <c r="AB38" s="5"/>
      <c r="AC38" s="5"/>
      <c r="AD38" s="5"/>
      <c r="AE38" s="5"/>
      <c r="AF38" s="5"/>
      <c r="AG38" s="5"/>
      <c r="AH38" s="5"/>
      <c r="AI38" s="5"/>
    </row>
    <row r="39" spans="1:35" ht="15" customHeight="1">
      <c r="A39" s="256">
        <v>6000</v>
      </c>
      <c r="B39" s="63">
        <v>0</v>
      </c>
      <c r="C39" s="64">
        <v>456</v>
      </c>
      <c r="D39" s="65">
        <v>794</v>
      </c>
      <c r="E39" s="64">
        <v>392</v>
      </c>
      <c r="F39" s="65">
        <v>680</v>
      </c>
      <c r="G39" s="64">
        <v>320</v>
      </c>
      <c r="H39" s="65">
        <v>549</v>
      </c>
      <c r="I39" s="124">
        <f>IF(I7&gt;=1090,E39+(C39-E39)/68*(I7-1090),G39+(E39-G39)/91*(I7-999))</f>
        <v>448.47058823529414</v>
      </c>
      <c r="J39" s="125">
        <f>IF(I7&gt;=1090,F39+(D39-F39)/68*(I7-1090),H39+(F39-H39)/91*(I7-999))</f>
        <v>780.58823529411768</v>
      </c>
      <c r="K39" s="139">
        <f>IF(M7&lt;=0,I39,0)</f>
        <v>0</v>
      </c>
      <c r="L39" s="139">
        <f>IF(M7&lt;=0,J39,0)</f>
        <v>0</v>
      </c>
      <c r="M39" s="205">
        <f>SUM(K39:K43)</f>
        <v>484</v>
      </c>
      <c r="N39" s="201">
        <f>SUM(L39:L43)</f>
        <v>847.94117647058829</v>
      </c>
      <c r="O39" s="5"/>
      <c r="P39" s="5"/>
      <c r="Q39" s="89"/>
      <c r="R39" s="210">
        <v>6000</v>
      </c>
      <c r="S39" s="63">
        <v>0</v>
      </c>
      <c r="T39" s="66">
        <v>207</v>
      </c>
      <c r="U39" s="67">
        <v>457</v>
      </c>
      <c r="V39" s="139">
        <f>IF(M7&lt;=0,T39,0)</f>
        <v>0</v>
      </c>
      <c r="W39" s="139">
        <f>IF(M7&lt;=0,U39,0)</f>
        <v>0</v>
      </c>
      <c r="X39" s="205">
        <f>SUM(V39:V43)</f>
        <v>215</v>
      </c>
      <c r="Y39" s="201">
        <f>SUM(W39:W43)</f>
        <v>469</v>
      </c>
      <c r="Z39" s="5"/>
      <c r="AA39" s="5"/>
      <c r="AB39" s="5"/>
      <c r="AC39" s="5"/>
      <c r="AD39" s="5"/>
      <c r="AE39" s="5"/>
      <c r="AF39" s="5"/>
      <c r="AG39" s="5"/>
      <c r="AH39" s="5"/>
      <c r="AI39" s="5"/>
    </row>
    <row r="40" spans="1:35" ht="15" customHeight="1">
      <c r="A40" s="257"/>
      <c r="B40" s="117">
        <v>10</v>
      </c>
      <c r="C40" s="118">
        <v>492</v>
      </c>
      <c r="D40" s="119">
        <v>863</v>
      </c>
      <c r="E40" s="118">
        <v>424</v>
      </c>
      <c r="F40" s="119">
        <v>735</v>
      </c>
      <c r="G40" s="118">
        <v>344</v>
      </c>
      <c r="H40" s="119">
        <v>591</v>
      </c>
      <c r="I40" s="126">
        <f>IF(I7&gt;=1090,E40+(C40-E40)/68*(I7-1090),G40+(E40-G40)/91*(I7-999))</f>
        <v>484</v>
      </c>
      <c r="J40" s="127">
        <f>IF(I7&gt;=1090,F40+(D40-F40)/68*(I7-1090),H40+(F40-H40)/91*(I7-999))</f>
        <v>847.94117647058829</v>
      </c>
      <c r="K40" s="131">
        <f>IF(AND(M7&gt;0,M7&lt;=10),I39+((I40-I39)/10*M7),0)</f>
        <v>484</v>
      </c>
      <c r="L40" s="131">
        <f>IF(AND(M7&gt;0,M7&lt;=10),J39+((J40-J39)/10*M7),0)</f>
        <v>847.94117647058829</v>
      </c>
      <c r="M40" s="206"/>
      <c r="N40" s="208"/>
      <c r="O40" s="5" t="s">
        <v>39</v>
      </c>
      <c r="P40" s="5"/>
      <c r="Q40" s="89"/>
      <c r="R40" s="211"/>
      <c r="S40" s="117">
        <v>10</v>
      </c>
      <c r="T40" s="120">
        <v>215</v>
      </c>
      <c r="U40" s="121">
        <v>469</v>
      </c>
      <c r="V40" s="131">
        <f>IF(AND(M7&gt;0,M7&lt;=10),T39+((T40-T39)/10*M7),0)</f>
        <v>215</v>
      </c>
      <c r="W40" s="131">
        <f>IF(AND(M7&gt;0,M7&lt;=10),U39+((U40-U39)/10*M7),0)</f>
        <v>469</v>
      </c>
      <c r="X40" s="206"/>
      <c r="Y40" s="208"/>
      <c r="Z40" s="5" t="s">
        <v>39</v>
      </c>
      <c r="AA40" s="5"/>
      <c r="AB40" s="5"/>
      <c r="AC40" s="5"/>
      <c r="AD40" s="5"/>
      <c r="AE40" s="5"/>
      <c r="AF40" s="5"/>
      <c r="AG40" s="5"/>
      <c r="AH40" s="5"/>
      <c r="AI40" s="5"/>
    </row>
    <row r="41" spans="1:35" ht="15" customHeight="1">
      <c r="A41" s="257"/>
      <c r="B41" s="117">
        <v>20</v>
      </c>
      <c r="C41" s="118">
        <v>532</v>
      </c>
      <c r="D41" s="119">
        <v>937</v>
      </c>
      <c r="E41" s="118">
        <v>457</v>
      </c>
      <c r="F41" s="119">
        <v>796</v>
      </c>
      <c r="G41" s="118">
        <v>372</v>
      </c>
      <c r="H41" s="119">
        <v>637</v>
      </c>
      <c r="I41" s="126">
        <f>IF(I7&gt;=1090,E41+(C41-E41)/68*(I7-1090),G41+(E41-G41)/91*(I7-999))</f>
        <v>523.17647058823536</v>
      </c>
      <c r="J41" s="127">
        <f>IF(I7&gt;=1090,F41+(D41-F41)/68*(I7-1090),H41+(F41-H41)/91*(I7-999))</f>
        <v>920.41176470588232</v>
      </c>
      <c r="K41" s="131">
        <f>IF(AND(M7&gt;10,M7&lt;=20),I40+(I41-I40)/10*(M7-10),0)</f>
        <v>0</v>
      </c>
      <c r="L41" s="131">
        <f>IF(AND(M7&gt;10,M7&lt;=20),J40+(J41-J40)/10*(M7-10),0)</f>
        <v>0</v>
      </c>
      <c r="M41" s="206"/>
      <c r="N41" s="208"/>
      <c r="O41" s="5"/>
      <c r="P41" s="5"/>
      <c r="Q41" s="89"/>
      <c r="R41" s="211"/>
      <c r="S41" s="117">
        <v>20</v>
      </c>
      <c r="T41" s="120">
        <v>223</v>
      </c>
      <c r="U41" s="121">
        <v>482</v>
      </c>
      <c r="V41" s="131">
        <f>IF(AND(M7&gt;10,M7&lt;=20),T40+(T41-T40)/10*(M7-10),0)</f>
        <v>0</v>
      </c>
      <c r="W41" s="131">
        <f>IF(AND(M7&gt;10,M7&lt;=20),U40+(U41-U40)/10*(M7-10),0)</f>
        <v>0</v>
      </c>
      <c r="X41" s="206"/>
      <c r="Y41" s="208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spans="1:35" ht="15" customHeight="1">
      <c r="A42" s="258"/>
      <c r="B42" s="70">
        <v>30</v>
      </c>
      <c r="C42" s="71">
        <v>572</v>
      </c>
      <c r="D42" s="72">
        <v>1012</v>
      </c>
      <c r="E42" s="71">
        <v>491</v>
      </c>
      <c r="F42" s="72">
        <v>855</v>
      </c>
      <c r="G42" s="71">
        <v>399</v>
      </c>
      <c r="H42" s="72">
        <v>683</v>
      </c>
      <c r="I42" s="126">
        <f>IF(I7&gt;=1090,E42+(C42-E42)/68*(I7-1090),G42+(E42-G42)/91*(I7-999))</f>
        <v>562.47058823529414</v>
      </c>
      <c r="J42" s="127">
        <f>IF(I7&gt;=1090,F42+(D42-F42)/68*(I7-1090),H42+(F42-H42)/91*(I7-999))</f>
        <v>993.52941176470586</v>
      </c>
      <c r="K42" s="131">
        <f>IF(AND(M7&gt;20,M7&lt;=30),I41+(I42-I41)/10*(M7-20),0)</f>
        <v>0</v>
      </c>
      <c r="L42" s="131">
        <f>IF(AND(M7&gt;20,M7&lt;=30),J41+(J42-J41)/10*(M7-20),0)</f>
        <v>0</v>
      </c>
      <c r="M42" s="198"/>
      <c r="N42" s="202"/>
      <c r="O42" s="104">
        <f>IF($O$7&lt;=0,M9,IF(AND($O$7&gt;0,$O$7&lt;1000),(M9+($O$7*(M14-M9)/1000)),IF($O$7=1000,M14,IF(AND($O$7&gt;1000,$O$7&lt;2000),(M14+(($O$7-1000)*(M19-M14)/1000)),IF($O$7=2000,M19,IF(AND($O$7&gt;2000,$O$7&lt;3000),(M19+(($O$7-2000)*(M24-M19)/1000)),IF($O$7=3000,M24,IF(AND($O$7&gt;3000,$O$7&lt;4000),(M24+(($O$7-3000)*(M29-M24)/1000)),IF($O$7=4000,M29,0)))))))))</f>
        <v>277.52941176470586</v>
      </c>
      <c r="P42" s="104">
        <f>IF(O7&lt;=0,N9,IF(AND(O7&gt;0,O7&lt;=1000),(N9+(O7*(N14-N9)/1000)),IF(AND(O7&gt;1000,O7&lt;=2000),(N14+((O7-1000)*(N19-N14)/1000)),IF(AND(O7&gt;2000,O7&lt;=3000),(N19+((O7-2000)*(N24-N19)/1000)),IF(AND(O7&gt;3000,O7&lt;=4000),(N24+((O7-3000)*(N29-N24)/1000)),0)))))</f>
        <v>472.70588235294116</v>
      </c>
      <c r="Q42" s="89"/>
      <c r="R42" s="212"/>
      <c r="S42" s="70">
        <v>30</v>
      </c>
      <c r="T42" s="73">
        <v>230</v>
      </c>
      <c r="U42" s="74">
        <v>494</v>
      </c>
      <c r="V42" s="131">
        <f>IF(AND(M7&gt;20,M7&lt;=30),T41+(T42-T41)/10*(M7-20),0)</f>
        <v>0</v>
      </c>
      <c r="W42" s="131">
        <f>IF(AND(M7&gt;20,M7&lt;=30),U41+(U42-U41)/10*(M7-20),0)</f>
        <v>0</v>
      </c>
      <c r="X42" s="198"/>
      <c r="Y42" s="202"/>
      <c r="Z42" s="104">
        <f>IF($O$7&lt;=0,X9,IF(AND($O$7&gt;0,$O$7&lt;1000),(X9+($O$7*(X14-X9)/1000)),IF($O$7=1000,X14,IF(AND($O$7&gt;1000,$O$7&lt;2000),(X14+(($O$7-1000)*(X19-X14)/1000)),IF($O$7=2000,X19,IF(AND($O$7&gt;2000,$O$7&lt;3000),(X19+(($O$7-2000)*(X24-X19)/1000)),IF($O$7=3000,X24,IF(AND($O$7&gt;3000,$O$7&lt;4000),(X24+(($O$7-3000)*(X29-X24)/1000)),IF($O$7=4000,X29,0)))))))))</f>
        <v>172</v>
      </c>
      <c r="AA42" s="104">
        <f>IF(Z7&lt;=0,Y9,IF(AND(Z7&gt;0,Z7&lt;=1000),(Y9+(Z7*(Y14-Y9)/1000)),IF(AND(Z7&gt;1000,Z7&lt;=2000),(Y14+((Z7-1000)*(Y19-Y14)/1000)),IF(AND(Z7&gt;2000,Z7&lt;=3000),(Y19+((Z7-2000)*(Y24-Y19)/1000)),IF(AND(Z7&gt;3000,Z7&lt;=4000),(Y24+((Z7-3000)*(Y29-Y24)/1000)),0)))))</f>
        <v>402</v>
      </c>
      <c r="AB42" s="5"/>
      <c r="AC42" s="5"/>
      <c r="AD42" s="5"/>
      <c r="AE42" s="5"/>
      <c r="AF42" s="5"/>
      <c r="AG42" s="5"/>
      <c r="AH42" s="5"/>
      <c r="AI42" s="5"/>
    </row>
    <row r="43" spans="1:35" ht="15.75" customHeight="1" thickBot="1">
      <c r="A43" s="273"/>
      <c r="B43" s="101">
        <v>40</v>
      </c>
      <c r="C43" s="102">
        <v>613</v>
      </c>
      <c r="D43" s="103">
        <v>1093</v>
      </c>
      <c r="E43" s="102">
        <v>526</v>
      </c>
      <c r="F43" s="103">
        <v>919</v>
      </c>
      <c r="G43" s="102">
        <v>427</v>
      </c>
      <c r="H43" s="103">
        <v>730</v>
      </c>
      <c r="I43" s="128">
        <f>IF(I7&gt;=1090,E43+(C43-E43)/68*(I7-1090),G43+(E43-G43)/91*(I7-999))</f>
        <v>602.76470588235293</v>
      </c>
      <c r="J43" s="129">
        <f>IF(I7&gt;=1090,F43+(D43-F43)/68*(I7-1090),H43+(F43-H43)/91*(I7-999))</f>
        <v>1072.5294117647059</v>
      </c>
      <c r="K43" s="140">
        <f>IF(AND(M7&gt;30,M7&lt;=40),I42+(I43-I42)/10*(M7-30),0)</f>
        <v>0</v>
      </c>
      <c r="L43" s="140">
        <f>IF(AND(M7&gt;30,M7&lt;=40),J42+(J43-J42)/10*(M7-30),0)</f>
        <v>0</v>
      </c>
      <c r="M43" s="214"/>
      <c r="N43" s="209"/>
      <c r="O43" s="104"/>
      <c r="P43" s="104"/>
      <c r="Q43" s="89"/>
      <c r="R43" s="213"/>
      <c r="S43" s="75">
        <v>40</v>
      </c>
      <c r="T43" s="78">
        <v>238</v>
      </c>
      <c r="U43" s="79">
        <v>506</v>
      </c>
      <c r="V43" s="140">
        <f>IF(AND(M7&gt;30,M7&lt;=40),T42+(T43-T42)/10*(M7-30),0)</f>
        <v>0</v>
      </c>
      <c r="W43" s="140">
        <f>IF(AND(M7&gt;30,M7&lt;=40),U42+(U43-U42)/10*(M7-30),0)</f>
        <v>0</v>
      </c>
      <c r="X43" s="214"/>
      <c r="Y43" s="209"/>
      <c r="Z43" s="104"/>
      <c r="AA43" s="104"/>
      <c r="AB43" s="5"/>
      <c r="AC43" s="5"/>
      <c r="AD43" s="5"/>
      <c r="AE43" s="5"/>
      <c r="AF43" s="5"/>
      <c r="AG43" s="5"/>
      <c r="AH43" s="5"/>
      <c r="AI43" s="5"/>
    </row>
    <row r="44" spans="1:35" ht="15" customHeight="1">
      <c r="A44" s="256">
        <v>7000</v>
      </c>
      <c r="B44" s="63">
        <v>0</v>
      </c>
      <c r="C44" s="64">
        <v>501</v>
      </c>
      <c r="D44" s="65">
        <v>887</v>
      </c>
      <c r="E44" s="64">
        <v>431</v>
      </c>
      <c r="F44" s="65">
        <v>753</v>
      </c>
      <c r="G44" s="64">
        <v>351</v>
      </c>
      <c r="H44" s="65">
        <v>605</v>
      </c>
      <c r="I44" s="124">
        <f>IF(I7&gt;=1090,E44+(C44-E44)/68*(I7-1090),G44+(E44-G44)/91*(I7-999))</f>
        <v>492.76470588235293</v>
      </c>
      <c r="J44" s="125">
        <f>IF(I7&gt;=1090,F44+(D44-F44)/68*(I7-1090),H44+(F44-H44)/91*(I7-999))</f>
        <v>871.23529411764707</v>
      </c>
      <c r="K44" s="139">
        <f>IF(M7&lt;=0,I44,0)</f>
        <v>0</v>
      </c>
      <c r="L44" s="139">
        <f>IF(M7&lt;=0,J44,0)</f>
        <v>0</v>
      </c>
      <c r="M44" s="205">
        <f>SUM(K44:K48)</f>
        <v>543.64705882352939</v>
      </c>
      <c r="N44" s="201">
        <f>SUM(L44:L48)</f>
        <v>948.58823529411757</v>
      </c>
      <c r="O44" s="104">
        <f>IF(AND(O7&gt;4000,O7&lt;=5000),(M29+((O7-4000)*(M34-M29)/1000)),IF(AND(O7&gt;5000,O7&lt;=6000),(M34+((O7-5000)*(M39-M34)/1000)),IF(AND(O7&gt;6000,O7&lt;=7000),(M39+((O7-6000)*(M44-M39)/1000)),IF(AND(O7&gt;7000,O7&lt;=8000),(M44+((O7-7000)*(M49-M44)/1000)),0))))</f>
        <v>0</v>
      </c>
      <c r="P44" s="104">
        <f>IF(AND(O7&gt;4000,O7&lt;=5000),(N29+((O7-4000)*(N34-N29)/1000)),IF(AND(O7&gt;5000,O7&lt;=6000),(N34+((O7-5000)*(N39-N34)/1000)),IF(AND(O7&gt;6000,O7&lt;=7000),(N39+((O7-6000)*(N44-N39)/1000)),IF(AND(O7&gt;7000,O7&lt;=8000),(N44+((O7-7000)*(N49-N44)/1000)),0))))</f>
        <v>0</v>
      </c>
      <c r="Q44" s="89"/>
      <c r="R44" s="210">
        <v>7000</v>
      </c>
      <c r="S44" s="63">
        <v>0</v>
      </c>
      <c r="T44" s="66">
        <v>215</v>
      </c>
      <c r="U44" s="67">
        <v>471</v>
      </c>
      <c r="V44" s="139">
        <f>IF(M7&lt;=0,T44,0)</f>
        <v>0</v>
      </c>
      <c r="W44" s="139">
        <f>IF(M7&lt;=0,U44,0)</f>
        <v>0</v>
      </c>
      <c r="X44" s="205">
        <f>SUM(V44:V48)</f>
        <v>223</v>
      </c>
      <c r="Y44" s="201">
        <f>SUM(W44:W48)</f>
        <v>483</v>
      </c>
      <c r="Z44" s="104">
        <f>IF(AND(Z7&gt;4000,Z7&lt;=5000),(X29+((Z7-4000)*(X34-X29)/1000)),IF(AND(Z7&gt;5000,Z7&lt;=6000),(X34+((Z7-5000)*(X39-X34)/1000)),IF(AND(Z7&gt;6000,Z7&lt;=7000),(X39+((Z7-6000)*(X44-X39)/1000)),IF(AND(Z7&gt;7000,Z7&lt;=8000),(X44+((Z7-7000)*(X49-X44)/1000)),0))))</f>
        <v>0</v>
      </c>
      <c r="AA44" s="104">
        <f>IF(AND(Z7&gt;4000,Z7&lt;=5000),(Y29+((Z7-4000)*(Y34-Y29)/1000)),IF(AND(Z7&gt;5000,Z7&lt;=6000),(Y34+((Z7-5000)*(Y39-Y34)/1000)),IF(AND(Z7&gt;6000,Z7&lt;=7000),(Y39+((Z7-6000)*(Y44-Y39)/1000)),IF(AND(Z7&gt;7000,Z7&lt;=8000),(Y44+((Z7-7000)*(Y49-Y44)/1000)),0))))</f>
        <v>0</v>
      </c>
      <c r="AB44" s="5"/>
      <c r="AC44" s="5"/>
      <c r="AD44" s="5"/>
      <c r="AE44" s="5"/>
      <c r="AF44" s="5"/>
      <c r="AG44" s="5"/>
      <c r="AH44" s="5"/>
      <c r="AI44" s="5"/>
    </row>
    <row r="45" spans="1:35" ht="15" customHeight="1">
      <c r="A45" s="257"/>
      <c r="B45" s="117">
        <v>10</v>
      </c>
      <c r="C45" s="118">
        <v>554</v>
      </c>
      <c r="D45" s="119">
        <v>966</v>
      </c>
      <c r="E45" s="118">
        <v>466</v>
      </c>
      <c r="F45" s="119">
        <v>818</v>
      </c>
      <c r="G45" s="118">
        <v>379</v>
      </c>
      <c r="H45" s="119">
        <v>654</v>
      </c>
      <c r="I45" s="126">
        <f>IF(I7&gt;=1090,E45+(C45-E45)/68*(I7-1090),G45+(E45-G45)/91*(I7-999))</f>
        <v>543.64705882352939</v>
      </c>
      <c r="J45" s="127">
        <f>IF(I7&gt;=1090,F45+(D45-F45)/68*(I7-1090),H45+(F45-H45)/91*(I7-999))</f>
        <v>948.58823529411757</v>
      </c>
      <c r="K45" s="131">
        <f>IF(AND(M7&gt;0,M7&lt;=10),I44+((I45-I44)/10*M7),0)</f>
        <v>543.64705882352939</v>
      </c>
      <c r="L45" s="131">
        <f>IF(AND(M7&gt;0,M7&lt;=10),J44+((J45-J44)/10*M7),0)</f>
        <v>948.58823529411757</v>
      </c>
      <c r="M45" s="206"/>
      <c r="N45" s="208"/>
      <c r="O45" s="5"/>
      <c r="P45" s="5"/>
      <c r="Q45" s="89"/>
      <c r="R45" s="211"/>
      <c r="S45" s="117">
        <v>10</v>
      </c>
      <c r="T45" s="120">
        <v>223</v>
      </c>
      <c r="U45" s="121">
        <v>483</v>
      </c>
      <c r="V45" s="131">
        <f>IF(AND(M7&gt;0,M7&lt;=10),T44+((T45-T44)/10*M7),0)</f>
        <v>223</v>
      </c>
      <c r="W45" s="131">
        <f>IF(AND(M7&gt;0,M7&lt;=10),U44+((U45-U44)/10*M7),0)</f>
        <v>483</v>
      </c>
      <c r="X45" s="206"/>
      <c r="Y45" s="208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spans="1:35" ht="15" customHeight="1">
      <c r="A46" s="257"/>
      <c r="B46" s="117">
        <v>20</v>
      </c>
      <c r="C46" s="118">
        <v>585</v>
      </c>
      <c r="D46" s="119">
        <v>1046</v>
      </c>
      <c r="E46" s="118">
        <v>503</v>
      </c>
      <c r="F46" s="119">
        <v>884</v>
      </c>
      <c r="G46" s="118">
        <v>408</v>
      </c>
      <c r="H46" s="119">
        <v>703</v>
      </c>
      <c r="I46" s="126">
        <f>IF(I7&gt;=1090,E46+(C46-E46)/68*(I7-1090),G46+(E46-G46)/91*(I7-999))</f>
        <v>575.35294117647061</v>
      </c>
      <c r="J46" s="127">
        <f>IF(I7&gt;=1090,F46+(D46-F46)/68*(I7-1090),H46+(F46-H46)/91*(I7-999))</f>
        <v>1026.9411764705883</v>
      </c>
      <c r="K46" s="131">
        <f>IF(AND(M7&gt;10,M7&lt;=20),I45+(I46-I45)/10*(M7-10),0)</f>
        <v>0</v>
      </c>
      <c r="L46" s="131">
        <f>IF(AND(M7&gt;10,M7&lt;=20),J45+(J46-J45)/10*(M7-10),0)</f>
        <v>0</v>
      </c>
      <c r="M46" s="206"/>
      <c r="N46" s="208"/>
      <c r="O46" s="5"/>
      <c r="P46" s="5"/>
      <c r="Q46" s="89"/>
      <c r="R46" s="211"/>
      <c r="S46" s="117">
        <v>20</v>
      </c>
      <c r="T46" s="120">
        <v>232</v>
      </c>
      <c r="U46" s="121">
        <v>495</v>
      </c>
      <c r="V46" s="131">
        <f>IF(AND(M7&gt;10,M7&lt;=20),T45+(T46-T45)/10*(M7-10),0)</f>
        <v>0</v>
      </c>
      <c r="W46" s="131">
        <f>IF(AND(M7&gt;10,M7&lt;=20),U45+(U46-U45)/10*(M7-10),0)</f>
        <v>0</v>
      </c>
      <c r="X46" s="206"/>
      <c r="Y46" s="208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spans="1:35" ht="15" customHeight="1">
      <c r="A47" s="258"/>
      <c r="B47" s="70">
        <v>30</v>
      </c>
      <c r="C47" s="71">
        <v>629</v>
      </c>
      <c r="D47" s="72">
        <v>1137</v>
      </c>
      <c r="E47" s="71">
        <v>539</v>
      </c>
      <c r="F47" s="72">
        <v>953</v>
      </c>
      <c r="G47" s="71">
        <v>437</v>
      </c>
      <c r="H47" s="72">
        <v>754</v>
      </c>
      <c r="I47" s="126">
        <f>IF(I7&gt;=1090,E47+(C47-E47)/68*(I7-1090),G47+(E47-G47)/91*(I7-999))</f>
        <v>618.41176470588232</v>
      </c>
      <c r="J47" s="127">
        <f>IF(I7&gt;=1090,F47+(D47-F47)/68*(I7-1090),H47+(F47-H47)/91*(I7-999))</f>
        <v>1115.3529411764707</v>
      </c>
      <c r="K47" s="131">
        <f>IF(AND(M7&gt;20,M7&lt;=30),I46+(I47-I46)/10*(M7-20),0)</f>
        <v>0</v>
      </c>
      <c r="L47" s="131">
        <f>IF(AND(M7&gt;20,M7&lt;=30),J46+(J47-J46)/10*(M7-20),0)</f>
        <v>0</v>
      </c>
      <c r="M47" s="198"/>
      <c r="N47" s="202"/>
      <c r="O47" s="5"/>
      <c r="P47" s="5"/>
      <c r="Q47" s="89"/>
      <c r="R47" s="212"/>
      <c r="S47" s="70">
        <v>30</v>
      </c>
      <c r="T47" s="73">
        <v>239</v>
      </c>
      <c r="U47" s="74">
        <v>507</v>
      </c>
      <c r="V47" s="131">
        <f>IF(AND(M7&gt;20,M7&lt;=30),T46+(T47-T46)/10*(M7-20),0)</f>
        <v>0</v>
      </c>
      <c r="W47" s="131">
        <f>IF(AND(M7&gt;20,M7&lt;=30),U46+(U47-U46)/10*(M7-20),0)</f>
        <v>0</v>
      </c>
      <c r="X47" s="198"/>
      <c r="Y47" s="202"/>
      <c r="Z47" s="5"/>
      <c r="AA47" s="5"/>
      <c r="AB47" s="5"/>
      <c r="AC47" s="5"/>
      <c r="AD47" s="5"/>
      <c r="AE47" s="5"/>
      <c r="AF47" s="5"/>
      <c r="AG47" s="5"/>
      <c r="AH47" s="5"/>
      <c r="AI47" s="5"/>
    </row>
    <row r="48" spans="1:35" ht="15.75" customHeight="1" thickBot="1">
      <c r="A48" s="273"/>
      <c r="B48" s="101">
        <v>40</v>
      </c>
      <c r="C48" s="102">
        <v>675</v>
      </c>
      <c r="D48" s="103">
        <v>1233</v>
      </c>
      <c r="E48" s="102">
        <v>579</v>
      </c>
      <c r="F48" s="103">
        <v>1027</v>
      </c>
      <c r="G48" s="102">
        <v>469</v>
      </c>
      <c r="H48" s="103">
        <v>808</v>
      </c>
      <c r="I48" s="128">
        <f>IF(I7&gt;=1090,E48+(C48-E48)/68*(I7-1090),G48+(E48-G48)/91*(I7-999))</f>
        <v>663.70588235294122</v>
      </c>
      <c r="J48" s="129">
        <f>IF(I7&gt;=1090,F48+(D48-F48)/68*(I7-1090),H48+(F48-H48)/91*(I7-999))</f>
        <v>1208.7647058823529</v>
      </c>
      <c r="K48" s="140">
        <f>IF(AND(M7&gt;30,M7&lt;=40),I47+(I48-I47)/10*(M7-30),0)</f>
        <v>0</v>
      </c>
      <c r="L48" s="140">
        <f>IF(AND(M7&gt;30,M7&lt;=40),J47+(J48-J47)/10*(M7-30),0)</f>
        <v>0</v>
      </c>
      <c r="M48" s="214"/>
      <c r="N48" s="209"/>
      <c r="O48" s="5"/>
      <c r="P48" s="5"/>
      <c r="Q48" s="89"/>
      <c r="R48" s="213"/>
      <c r="S48" s="75">
        <v>40</v>
      </c>
      <c r="T48" s="78">
        <v>247</v>
      </c>
      <c r="U48" s="79">
        <v>520</v>
      </c>
      <c r="V48" s="140">
        <f>IF(AND(M7&gt;30,M7&lt;=40),T47+(T48-T47)/10*(M7-30),0)</f>
        <v>0</v>
      </c>
      <c r="W48" s="140">
        <f>IF(AND(M7&gt;30,M7&lt;=40),U47+(U48-U47)/10*(M7-30),0)</f>
        <v>0</v>
      </c>
      <c r="X48" s="214"/>
      <c r="Y48" s="209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spans="1:35" ht="15" customHeight="1">
      <c r="A49" s="256">
        <v>8000</v>
      </c>
      <c r="B49" s="63">
        <v>0</v>
      </c>
      <c r="C49" s="64">
        <v>555</v>
      </c>
      <c r="D49" s="65">
        <v>995</v>
      </c>
      <c r="E49" s="64">
        <v>475</v>
      </c>
      <c r="F49" s="65">
        <v>835</v>
      </c>
      <c r="G49" s="64">
        <v>387</v>
      </c>
      <c r="H49" s="65">
        <v>669</v>
      </c>
      <c r="I49" s="124">
        <f>IF(I7&gt;=1090,E49+(C49-E49)/68*(I7-1090),G49+(E49-G49)/91*(I7-999))</f>
        <v>545.58823529411768</v>
      </c>
      <c r="J49" s="125">
        <f>IF(I7&gt;=1090,F49+(D49-F49)/68*(I7-1090),H49+(F49-H49)/91*(I7-999))</f>
        <v>976.17647058823536</v>
      </c>
      <c r="K49" s="139">
        <f>IF(M7&lt;=0,I49,0)</f>
        <v>0</v>
      </c>
      <c r="L49" s="139">
        <f>IF(M7&lt;=0,J49,0)</f>
        <v>0</v>
      </c>
      <c r="M49" s="205">
        <f>SUM(K49:K53)</f>
        <v>590</v>
      </c>
      <c r="N49" s="201">
        <f>SUM(L49:L53)</f>
        <v>1069.2941176470588</v>
      </c>
      <c r="O49" s="5"/>
      <c r="P49" s="40"/>
      <c r="Q49" s="89"/>
      <c r="R49" s="210">
        <v>8000</v>
      </c>
      <c r="S49" s="63">
        <v>0</v>
      </c>
      <c r="T49" s="66">
        <v>224</v>
      </c>
      <c r="U49" s="67">
        <v>483</v>
      </c>
      <c r="V49" s="139">
        <f>IF(M7&lt;=0,T49,0)</f>
        <v>0</v>
      </c>
      <c r="W49" s="139">
        <f>IF(M7&lt;=0,U49,0)</f>
        <v>0</v>
      </c>
      <c r="X49" s="205">
        <f>SUM(V49:V53)</f>
        <v>232</v>
      </c>
      <c r="Y49" s="201">
        <f>SUM(W49:W53)</f>
        <v>497</v>
      </c>
      <c r="Z49" s="5"/>
      <c r="AA49" s="5"/>
      <c r="AB49" s="5"/>
      <c r="AC49" s="5"/>
      <c r="AD49" s="5"/>
      <c r="AE49" s="5"/>
      <c r="AF49" s="5"/>
      <c r="AG49" s="5"/>
      <c r="AH49" s="5"/>
      <c r="AI49" s="5"/>
    </row>
    <row r="50" spans="1:35" ht="15" customHeight="1">
      <c r="A50" s="257"/>
      <c r="B50" s="117">
        <v>10</v>
      </c>
      <c r="C50" s="118">
        <v>600</v>
      </c>
      <c r="D50" s="119">
        <v>1090</v>
      </c>
      <c r="E50" s="118">
        <v>515</v>
      </c>
      <c r="F50" s="119">
        <v>914</v>
      </c>
      <c r="G50" s="118">
        <v>418</v>
      </c>
      <c r="H50" s="119">
        <v>724</v>
      </c>
      <c r="I50" s="126">
        <f>IF(I7&gt;=1090,E50+(C50-E50)/68*(I7-1090),G50+(E50-G50)/91*(I7-999))</f>
        <v>590</v>
      </c>
      <c r="J50" s="127">
        <f>IF(I7&gt;=1090,F50+(D50-F50)/68*(I7-1090),H50+(F50-H50)/91*(I7-999))</f>
        <v>1069.2941176470588</v>
      </c>
      <c r="K50" s="131">
        <f>IF(AND(M7&gt;0,M7&lt;=10),I49+((I50-I49)/10*M7),0)</f>
        <v>590</v>
      </c>
      <c r="L50" s="131">
        <f>IF(AND(M7&gt;0,M7&lt;=10),J49+((J50-J49)/10*M7),0)</f>
        <v>1069.2941176470588</v>
      </c>
      <c r="M50" s="206"/>
      <c r="N50" s="208"/>
      <c r="O50" s="5"/>
      <c r="P50" s="5"/>
      <c r="Q50" s="89"/>
      <c r="R50" s="211"/>
      <c r="S50" s="117">
        <v>10</v>
      </c>
      <c r="T50" s="120">
        <v>232</v>
      </c>
      <c r="U50" s="121">
        <v>497</v>
      </c>
      <c r="V50" s="131">
        <f>IF(AND(M7&gt;0,M7&lt;=10),T49+((T50-T49)/10*M7),0)</f>
        <v>232</v>
      </c>
      <c r="W50" s="131">
        <f>IF(AND(M7&gt;0,M7&lt;=10),U49+((U50-U49)/10*M7),0)</f>
        <v>497</v>
      </c>
      <c r="X50" s="206"/>
      <c r="Y50" s="208"/>
      <c r="Z50" s="5"/>
      <c r="AA50" s="5"/>
      <c r="AB50" s="5"/>
      <c r="AC50" s="5"/>
      <c r="AD50" s="5"/>
      <c r="AE50" s="5"/>
      <c r="AF50" s="5"/>
      <c r="AG50" s="5"/>
      <c r="AH50" s="5"/>
      <c r="AI50" s="5"/>
    </row>
    <row r="51" spans="1:35" ht="15" customHeight="1">
      <c r="A51" s="257"/>
      <c r="B51" s="117">
        <v>20</v>
      </c>
      <c r="C51" s="118">
        <v>646</v>
      </c>
      <c r="D51" s="119">
        <v>1183</v>
      </c>
      <c r="E51" s="118">
        <v>553</v>
      </c>
      <c r="F51" s="119">
        <v>988</v>
      </c>
      <c r="G51" s="118">
        <v>450</v>
      </c>
      <c r="H51" s="119">
        <v>779</v>
      </c>
      <c r="I51" s="126">
        <f>IF(I7&gt;=1090,E51+(C51-E51)/68*(I7-1090),G51+(E51-G51)/91*(I7-999))</f>
        <v>635.05882352941171</v>
      </c>
      <c r="J51" s="127">
        <f>IF(I7&gt;=1090,F51+(D51-F51)/68*(I7-1090),H51+(F51-H51)/91*(I7-999))</f>
        <v>1160.0588235294117</v>
      </c>
      <c r="K51" s="131">
        <f>IF(AND(M7&gt;10,M7&lt;=20),I50+(I51-I50)/10*(M7-10),0)</f>
        <v>0</v>
      </c>
      <c r="L51" s="131">
        <f>IF(AND(M7&gt;10,M7&lt;=20),J50+(J51-J50)/10*(M7-10),0)</f>
        <v>0</v>
      </c>
      <c r="M51" s="206"/>
      <c r="N51" s="208"/>
      <c r="O51" s="5"/>
      <c r="P51" s="5"/>
      <c r="Q51" s="89"/>
      <c r="R51" s="211"/>
      <c r="S51" s="117">
        <v>20</v>
      </c>
      <c r="T51" s="120">
        <v>241</v>
      </c>
      <c r="U51" s="121">
        <v>509</v>
      </c>
      <c r="V51" s="131">
        <f>IF(AND(M7&gt;10,M7&lt;=20),T50+(T51-T50)/10*(M7-10),0)</f>
        <v>0</v>
      </c>
      <c r="W51" s="131">
        <f>IF(AND(M7&gt;10,M7&lt;=20),U50+(U51-U50)/10*(M7-10),0)</f>
        <v>0</v>
      </c>
      <c r="X51" s="206"/>
      <c r="Y51" s="208"/>
      <c r="Z51" s="5"/>
      <c r="AA51" s="5"/>
      <c r="AB51" s="5"/>
      <c r="AC51" s="5"/>
      <c r="AD51" s="5"/>
      <c r="AE51" s="5"/>
      <c r="AF51" s="5"/>
      <c r="AG51" s="5"/>
      <c r="AH51" s="5"/>
      <c r="AI51" s="5"/>
    </row>
    <row r="52" spans="1:35" ht="15" customHeight="1">
      <c r="A52" s="258"/>
      <c r="B52" s="70">
        <v>30</v>
      </c>
      <c r="C52" s="71">
        <v>695</v>
      </c>
      <c r="D52" s="72">
        <v>1288</v>
      </c>
      <c r="E52" s="71">
        <v>594</v>
      </c>
      <c r="F52" s="72">
        <v>1067</v>
      </c>
      <c r="G52" s="71">
        <v>482</v>
      </c>
      <c r="H52" s="72">
        <v>837</v>
      </c>
      <c r="I52" s="126">
        <f>IF(I7&gt;=1090,E52+(C52-E52)/68*(I7-1090),G52+(E52-G52)/91*(I7-999))</f>
        <v>683.11764705882354</v>
      </c>
      <c r="J52" s="127">
        <f>IF(I7&gt;=1090,F52+(D52-F52)/68*(I7-1090),H52+(F52-H52)/91*(I7-999))</f>
        <v>1262</v>
      </c>
      <c r="K52" s="131">
        <f>IF(AND(M7&gt;20,M7&lt;=30),I51+(I52-I51)/10*(M7-20),0)</f>
        <v>0</v>
      </c>
      <c r="L52" s="131">
        <f>IF(AND(M7&gt;20,M7&lt;=30),J51+(J52-J51)/10*(M7-20),0)</f>
        <v>0</v>
      </c>
      <c r="M52" s="198"/>
      <c r="N52" s="202"/>
      <c r="O52" s="5"/>
      <c r="P52" s="5"/>
      <c r="Q52" s="89"/>
      <c r="R52" s="212"/>
      <c r="S52" s="70">
        <v>30</v>
      </c>
      <c r="T52" s="73">
        <v>248</v>
      </c>
      <c r="U52" s="74">
        <v>523</v>
      </c>
      <c r="V52" s="131">
        <f>IF(AND(M7&gt;20,M7&lt;=30),T51+(T52-T51)/10*(M7-20),0)</f>
        <v>0</v>
      </c>
      <c r="W52" s="131">
        <f>IF(AND(M7&gt;20,M7&lt;=30),U51+(U52-U51)/10*(M7-20),0)</f>
        <v>0</v>
      </c>
      <c r="X52" s="198"/>
      <c r="Y52" s="202"/>
      <c r="Z52" s="5"/>
      <c r="AA52" s="5"/>
      <c r="AB52" s="5"/>
      <c r="AC52" s="5"/>
      <c r="AD52" s="5"/>
      <c r="AE52" s="5"/>
      <c r="AF52" s="5"/>
      <c r="AG52" s="5"/>
      <c r="AH52" s="5"/>
      <c r="AI52" s="5"/>
    </row>
    <row r="53" spans="1:35" ht="15.75" customHeight="1" thickBot="1">
      <c r="A53" s="273"/>
      <c r="B53" s="101">
        <v>40</v>
      </c>
      <c r="C53" s="102">
        <v>747</v>
      </c>
      <c r="D53" s="103">
        <v>1407</v>
      </c>
      <c r="E53" s="102">
        <v>639</v>
      </c>
      <c r="F53" s="103">
        <v>1155</v>
      </c>
      <c r="G53" s="102">
        <v>517</v>
      </c>
      <c r="H53" s="103">
        <v>899</v>
      </c>
      <c r="I53" s="128">
        <f>IF(I7&gt;=1090,E53+(C53-E53)/68*(I7-1090),G53+(E53-G53)/91*(I7-999))</f>
        <v>734.29411764705878</v>
      </c>
      <c r="J53" s="129">
        <f>IF(I7&gt;=1090,F53+(D53-F53)/68*(I7-1090),H53+(F53-H53)/91*(I7-999))</f>
        <v>1377.3529411764707</v>
      </c>
      <c r="K53" s="140">
        <f>IF(AND(M7&gt;30,M7&lt;=40),I52+(I53-I52)/10*(M7-30),0)</f>
        <v>0</v>
      </c>
      <c r="L53" s="140">
        <f>IF(AND(M7&gt;30,M7&lt;=40),J52+(J53-J52)/10*(M7-30),0)</f>
        <v>0</v>
      </c>
      <c r="M53" s="214"/>
      <c r="N53" s="209"/>
      <c r="O53" s="5"/>
      <c r="P53" s="5"/>
      <c r="Q53" s="89"/>
      <c r="R53" s="213"/>
      <c r="S53" s="75">
        <v>40</v>
      </c>
      <c r="T53" s="78">
        <v>256</v>
      </c>
      <c r="U53" s="79">
        <v>535</v>
      </c>
      <c r="V53" s="140">
        <f>IF(AND(M7&gt;30,M7&lt;=40),T52+(T53-T52)/10*(M7-30),0)</f>
        <v>0</v>
      </c>
      <c r="W53" s="140">
        <f>IF(AND(M7&gt;30,M7&lt;=40),U52+(U53-U52)/10*(M7-30),0)</f>
        <v>0</v>
      </c>
      <c r="X53" s="214"/>
      <c r="Y53" s="209"/>
      <c r="Z53" s="5"/>
      <c r="AA53" s="5"/>
      <c r="AB53" s="5"/>
      <c r="AC53" s="5"/>
      <c r="AD53" s="5"/>
      <c r="AE53" s="5"/>
      <c r="AF53" s="5"/>
      <c r="AG53" s="5"/>
      <c r="AH53" s="5"/>
      <c r="AI53" s="5"/>
    </row>
  </sheetData>
  <sheetProtection sheet="1" objects="1" scenarios="1"/>
  <mergeCells count="87">
    <mergeCell ref="A49:A53"/>
    <mergeCell ref="M49:M53"/>
    <mergeCell ref="N49:N53"/>
    <mergeCell ref="A39:A43"/>
    <mergeCell ref="M39:M43"/>
    <mergeCell ref="N39:N43"/>
    <mergeCell ref="A44:A48"/>
    <mergeCell ref="M44:M48"/>
    <mergeCell ref="N44:N48"/>
    <mergeCell ref="O24:O38"/>
    <mergeCell ref="R24:R28"/>
    <mergeCell ref="R29:R33"/>
    <mergeCell ref="R34:R38"/>
    <mergeCell ref="A29:A33"/>
    <mergeCell ref="M29:M33"/>
    <mergeCell ref="N29:N33"/>
    <mergeCell ref="A34:A38"/>
    <mergeCell ref="M34:M38"/>
    <mergeCell ref="N34:N38"/>
    <mergeCell ref="A24:A28"/>
    <mergeCell ref="M24:M28"/>
    <mergeCell ref="N24:N28"/>
    <mergeCell ref="A19:A23"/>
    <mergeCell ref="M19:M23"/>
    <mergeCell ref="N19:N23"/>
    <mergeCell ref="Z9:Z23"/>
    <mergeCell ref="AA9:AA23"/>
    <mergeCell ref="A14:A18"/>
    <mergeCell ref="M14:M18"/>
    <mergeCell ref="N14:N18"/>
    <mergeCell ref="R14:R18"/>
    <mergeCell ref="A9:A13"/>
    <mergeCell ref="M9:M13"/>
    <mergeCell ref="N9:N13"/>
    <mergeCell ref="O9:O23"/>
    <mergeCell ref="P9:P23"/>
    <mergeCell ref="R9:R13"/>
    <mergeCell ref="R19:R23"/>
    <mergeCell ref="I7:J7"/>
    <mergeCell ref="AG7:AH7"/>
    <mergeCell ref="M7:N7"/>
    <mergeCell ref="O7:P7"/>
    <mergeCell ref="R7:R8"/>
    <mergeCell ref="S7:S8"/>
    <mergeCell ref="T7:U7"/>
    <mergeCell ref="V7:W7"/>
    <mergeCell ref="Z7:AA7"/>
    <mergeCell ref="AE7:AF7"/>
    <mergeCell ref="A7:A8"/>
    <mergeCell ref="B7:B8"/>
    <mergeCell ref="C7:D7"/>
    <mergeCell ref="G7:H7"/>
    <mergeCell ref="E7:F7"/>
    <mergeCell ref="A1:E1"/>
    <mergeCell ref="A4:Q4"/>
    <mergeCell ref="S4:AB4"/>
    <mergeCell ref="AE5:AJ5"/>
    <mergeCell ref="C6:D6"/>
    <mergeCell ref="G6:H6"/>
    <mergeCell ref="I6:J6"/>
    <mergeCell ref="M6:N6"/>
    <mergeCell ref="O6:P6"/>
    <mergeCell ref="T6:U6"/>
    <mergeCell ref="Z6:AA6"/>
    <mergeCell ref="E6:F6"/>
    <mergeCell ref="V6:Y6"/>
    <mergeCell ref="R39:R43"/>
    <mergeCell ref="R44:R48"/>
    <mergeCell ref="R49:R53"/>
    <mergeCell ref="X24:X28"/>
    <mergeCell ref="Y24:Y28"/>
    <mergeCell ref="X29:X33"/>
    <mergeCell ref="Y29:Y33"/>
    <mergeCell ref="X34:X38"/>
    <mergeCell ref="Y34:Y38"/>
    <mergeCell ref="X39:X43"/>
    <mergeCell ref="Y39:Y43"/>
    <mergeCell ref="X44:X48"/>
    <mergeCell ref="Y44:Y48"/>
    <mergeCell ref="X49:X53"/>
    <mergeCell ref="Y49:Y53"/>
    <mergeCell ref="X9:X13"/>
    <mergeCell ref="Y9:Y13"/>
    <mergeCell ref="X14:X18"/>
    <mergeCell ref="Y14:Y18"/>
    <mergeCell ref="X19:X23"/>
    <mergeCell ref="Y19:Y23"/>
  </mergeCells>
  <conditionalFormatting sqref="AE9:AH9">
    <cfRule type="containsText" dxfId="8" priority="1" stopIfTrue="1" operator="containsText" text="Altitude">
      <formula>NOT(ISERROR(FIND(UPPER("Altitude"),UPPER(AE9))))</formula>
      <formula>"Altitude"</formula>
    </cfRule>
  </conditionalFormatting>
  <pageMargins left="0.7" right="0.7" top="0.75" bottom="0.75" header="0.3" footer="0.3"/>
  <pageSetup orientation="portrait"/>
  <headerFooter>
    <oddFooter>&amp;C&amp;"Helvetica Neue,Regular"&amp;12&amp;K000000&amp;P</oddFooter>
  </headerFooter>
  <ignoredErrors>
    <ignoredError sqref="AF10" formula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9"/>
  <sheetViews>
    <sheetView showGridLines="0" workbookViewId="0">
      <selection activeCell="A6" sqref="A6"/>
    </sheetView>
  </sheetViews>
  <sheetFormatPr baseColWidth="10" defaultColWidth="10.85546875" defaultRowHeight="15" customHeight="1"/>
  <cols>
    <col min="1" max="1" width="20.140625" style="1" customWidth="1"/>
    <col min="2" max="2" width="20.42578125" style="1" customWidth="1"/>
    <col min="3" max="3" width="20.28515625" style="1" customWidth="1"/>
    <col min="4" max="4" width="1.42578125" style="1" customWidth="1"/>
    <col min="5" max="5" width="18.7109375" style="1" customWidth="1"/>
    <col min="6" max="6" width="2.28515625" style="1" customWidth="1"/>
    <col min="7" max="10" width="19.42578125" style="1" customWidth="1"/>
    <col min="11" max="11" width="5.28515625" style="1" customWidth="1"/>
    <col min="12" max="12" width="10.85546875" style="1" customWidth="1"/>
    <col min="13" max="16384" width="10.85546875" style="1"/>
  </cols>
  <sheetData>
    <row r="1" spans="1:11" ht="36" customHeight="1">
      <c r="A1" s="275" t="s">
        <v>42</v>
      </c>
      <c r="B1" s="276"/>
      <c r="C1" s="2"/>
      <c r="D1" s="3"/>
      <c r="E1" s="2"/>
      <c r="F1" s="277" t="s">
        <v>43</v>
      </c>
      <c r="G1" s="278"/>
      <c r="H1" s="278"/>
      <c r="I1" s="278"/>
      <c r="J1" s="278"/>
      <c r="K1" s="279"/>
    </row>
    <row r="2" spans="1:11" ht="15.75" customHeight="1" thickBot="1">
      <c r="A2" s="4"/>
      <c r="B2" s="5"/>
      <c r="C2" s="5"/>
      <c r="D2" s="5"/>
      <c r="E2" s="5"/>
      <c r="F2" s="5"/>
      <c r="G2" s="6"/>
      <c r="H2" s="6"/>
      <c r="I2" s="6"/>
      <c r="J2" s="6"/>
      <c r="K2" s="7"/>
    </row>
    <row r="3" spans="1:11" ht="35.25" customHeight="1">
      <c r="A3" s="165" t="s">
        <v>0</v>
      </c>
      <c r="B3" s="166"/>
      <c r="C3" s="166"/>
      <c r="D3" s="8"/>
      <c r="E3" s="5"/>
      <c r="F3" s="9"/>
      <c r="G3" s="167" t="s">
        <v>61</v>
      </c>
      <c r="H3" s="168"/>
      <c r="I3" s="168"/>
      <c r="J3" s="169"/>
      <c r="K3" s="10"/>
    </row>
    <row r="4" spans="1:11" ht="15" customHeight="1">
      <c r="A4" s="11"/>
      <c r="B4" s="12"/>
      <c r="C4" s="12"/>
      <c r="D4" s="5"/>
      <c r="E4" s="12"/>
      <c r="F4" s="9"/>
      <c r="G4" s="170"/>
      <c r="H4" s="171"/>
      <c r="I4" s="171"/>
      <c r="J4" s="172"/>
      <c r="K4" s="10"/>
    </row>
    <row r="5" spans="1:11" ht="25.5" customHeight="1">
      <c r="A5" s="83" t="s">
        <v>1</v>
      </c>
      <c r="B5" s="83" t="s">
        <v>2</v>
      </c>
      <c r="C5" s="84" t="s">
        <v>3</v>
      </c>
      <c r="D5" s="13"/>
      <c r="E5" s="122" t="s">
        <v>4</v>
      </c>
      <c r="F5" s="14"/>
      <c r="G5" s="170"/>
      <c r="H5" s="171"/>
      <c r="I5" s="171"/>
      <c r="J5" s="172"/>
      <c r="K5" s="10"/>
    </row>
    <row r="6" spans="1:11" ht="24" customHeight="1" thickBot="1">
      <c r="A6" s="105">
        <v>0</v>
      </c>
      <c r="B6" s="105">
        <v>1013</v>
      </c>
      <c r="C6" s="85">
        <f>((1013-B6)*(IF(A6&lt;3000,28,30))+A6)</f>
        <v>0</v>
      </c>
      <c r="D6" s="15"/>
      <c r="E6" s="105">
        <v>1338</v>
      </c>
      <c r="F6" s="14"/>
      <c r="G6" s="173"/>
      <c r="H6" s="174"/>
      <c r="I6" s="174"/>
      <c r="J6" s="175"/>
      <c r="K6" s="10"/>
    </row>
    <row r="7" spans="1:11" ht="28.5" customHeight="1">
      <c r="A7" s="16"/>
      <c r="B7" s="17"/>
      <c r="C7" s="18" t="str">
        <f>IF(C6&gt;8000,"Dépassement altitude ! (Max=8000ft)","zp max = 8000ftSi&lt;0 : calcul fait avec 0ft")</f>
        <v>zp max = 8000ftSi&lt;0 : calcul fait avec 0ft</v>
      </c>
      <c r="D7" s="19"/>
      <c r="E7" s="157" t="str">
        <f>IF(E6&lt;=1406,"Maxi T/O 1406 Kg   Maxi LND 1338 Kg","Masse maxi dépassée")</f>
        <v>Maxi T/O 1406 Kg   Maxi LND 1338 Kg</v>
      </c>
      <c r="F7" s="5"/>
      <c r="G7" s="180" t="s">
        <v>51</v>
      </c>
      <c r="H7" s="180"/>
      <c r="I7" s="181" t="s">
        <v>52</v>
      </c>
      <c r="J7" s="182"/>
      <c r="K7" s="7"/>
    </row>
    <row r="8" spans="1:11" ht="17.25" customHeight="1">
      <c r="A8" s="86" t="s">
        <v>5</v>
      </c>
      <c r="B8" s="87" t="s">
        <v>6</v>
      </c>
      <c r="C8" s="87" t="s">
        <v>35</v>
      </c>
      <c r="D8" s="123"/>
      <c r="E8" s="176"/>
      <c r="F8" s="5"/>
      <c r="G8" s="183" t="s">
        <v>57</v>
      </c>
      <c r="H8" s="184"/>
      <c r="I8" s="185" t="s">
        <v>56</v>
      </c>
      <c r="J8" s="186"/>
      <c r="K8" s="7"/>
    </row>
    <row r="9" spans="1:11" ht="31.5" customHeight="1" thickBot="1">
      <c r="A9" s="105">
        <v>10</v>
      </c>
      <c r="B9" s="88">
        <f>15+(($C$6/1000)*(-2))</f>
        <v>15</v>
      </c>
      <c r="C9" s="88">
        <f>A9-B9</f>
        <v>-5</v>
      </c>
      <c r="D9" s="81"/>
      <c r="E9" s="177"/>
      <c r="F9" s="5"/>
      <c r="G9" s="178" t="s">
        <v>53</v>
      </c>
      <c r="H9" s="179"/>
      <c r="I9" s="178" t="s">
        <v>54</v>
      </c>
      <c r="J9" s="179"/>
      <c r="K9" s="7"/>
    </row>
    <row r="10" spans="1:11" ht="16.5" customHeight="1">
      <c r="A10" s="20"/>
      <c r="B10" s="21"/>
      <c r="C10" s="21"/>
      <c r="D10" s="5"/>
      <c r="E10" s="12"/>
      <c r="F10" s="22"/>
      <c r="G10" s="187" t="s">
        <v>7</v>
      </c>
      <c r="H10" s="188"/>
      <c r="I10" s="187" t="s">
        <v>8</v>
      </c>
      <c r="J10" s="188"/>
      <c r="K10" s="23"/>
    </row>
    <row r="11" spans="1:11" ht="45" customHeight="1">
      <c r="A11" s="86" t="s">
        <v>33</v>
      </c>
      <c r="B11" s="86" t="s">
        <v>70</v>
      </c>
      <c r="C11" s="86" t="s">
        <v>34</v>
      </c>
      <c r="D11" s="13"/>
      <c r="E11" s="194" t="s">
        <v>9</v>
      </c>
      <c r="F11" s="24"/>
      <c r="G11" s="25" t="s">
        <v>10</v>
      </c>
      <c r="H11" s="26" t="s">
        <v>11</v>
      </c>
      <c r="I11" s="25" t="s">
        <v>10</v>
      </c>
      <c r="J11" s="26" t="s">
        <v>12</v>
      </c>
      <c r="K11" s="23"/>
    </row>
    <row r="12" spans="1:11" ht="36.75" customHeight="1" thickBot="1">
      <c r="A12" s="106" t="s">
        <v>13</v>
      </c>
      <c r="B12" s="107">
        <v>0</v>
      </c>
      <c r="C12" s="106" t="s">
        <v>45</v>
      </c>
      <c r="D12" s="13"/>
      <c r="E12" s="195"/>
      <c r="F12" s="24"/>
      <c r="G12" s="27">
        <f>IFERROR('Calculs C182T'!AE10,"ALT or TEMP out of range!")</f>
        <v>209.69734806629836</v>
      </c>
      <c r="H12" s="28">
        <f>IFERROR('Calculs C182T'!AF10,"ALT or TEMP out of range!")</f>
        <v>399.77635359116027</v>
      </c>
      <c r="I12" s="27">
        <f>IFERROR('Calculs C182T'!AG10,"ALT or TEMP out of range!")</f>
        <v>176.78400000000002</v>
      </c>
      <c r="J12" s="28">
        <f>IFERROR('Calculs C182T'!AH10,"ALT or TEMP out of range!")</f>
        <v>406.90800000000002</v>
      </c>
      <c r="K12" s="23"/>
    </row>
    <row r="13" spans="1:11" ht="28.5" customHeight="1" thickBot="1">
      <c r="A13" s="29"/>
      <c r="B13" s="30"/>
      <c r="C13" s="31" t="s">
        <v>14</v>
      </c>
      <c r="D13" s="5"/>
      <c r="E13" s="32"/>
      <c r="F13" s="5"/>
      <c r="G13" s="189" t="s">
        <v>62</v>
      </c>
      <c r="H13" s="189"/>
      <c r="I13" s="34"/>
      <c r="J13" s="33"/>
      <c r="K13" s="35"/>
    </row>
    <row r="14" spans="1:11" ht="33.75" customHeight="1">
      <c r="A14" s="274" t="s">
        <v>68</v>
      </c>
      <c r="B14" s="274"/>
      <c r="C14" s="274"/>
      <c r="D14" s="158"/>
      <c r="E14" s="158"/>
      <c r="F14" s="22"/>
      <c r="G14" s="196" t="s">
        <v>15</v>
      </c>
      <c r="H14" s="188"/>
      <c r="I14" s="196" t="s">
        <v>16</v>
      </c>
      <c r="J14" s="188"/>
      <c r="K14" s="23"/>
    </row>
    <row r="15" spans="1:11" ht="40.5" customHeight="1" thickBot="1">
      <c r="A15" s="274" t="s">
        <v>69</v>
      </c>
      <c r="B15" s="274"/>
      <c r="C15" s="274"/>
      <c r="D15" s="158"/>
      <c r="E15" s="158"/>
      <c r="F15" s="36"/>
      <c r="G15" s="37">
        <f>G12*1.3</f>
        <v>272.60655248618787</v>
      </c>
      <c r="H15" s="38">
        <f>H12*1.3</f>
        <v>519.70925966850837</v>
      </c>
      <c r="I15" s="37">
        <f>I12*1.3</f>
        <v>229.81920000000002</v>
      </c>
      <c r="J15" s="38">
        <f>J12*1.3</f>
        <v>528.98040000000003</v>
      </c>
      <c r="K15" s="23"/>
    </row>
    <row r="16" spans="1:11" ht="30.75" customHeight="1">
      <c r="A16" s="159"/>
      <c r="B16" s="5"/>
      <c r="C16" s="5"/>
      <c r="D16" s="5"/>
      <c r="E16" s="5"/>
      <c r="F16" s="5"/>
      <c r="G16" s="40"/>
      <c r="H16" s="41" t="s">
        <v>17</v>
      </c>
      <c r="I16" s="40"/>
      <c r="J16" s="41" t="s">
        <v>18</v>
      </c>
      <c r="K16" s="7"/>
    </row>
    <row r="17" spans="1:11" ht="20.25" customHeight="1">
      <c r="A17" s="39"/>
      <c r="B17" s="5"/>
      <c r="C17" s="42"/>
      <c r="D17" s="42"/>
      <c r="E17" s="42"/>
      <c r="F17" s="5"/>
      <c r="G17" s="191" t="s">
        <v>65</v>
      </c>
      <c r="H17" s="191"/>
      <c r="I17" s="42"/>
      <c r="J17" s="43"/>
      <c r="K17" s="44"/>
    </row>
    <row r="18" spans="1:11" ht="15" customHeight="1">
      <c r="A18" s="39"/>
      <c r="B18" s="5"/>
      <c r="C18" s="5"/>
      <c r="D18" s="5"/>
      <c r="E18" s="5"/>
      <c r="F18" s="5"/>
      <c r="G18" s="191"/>
      <c r="H18" s="191"/>
      <c r="I18" s="5"/>
      <c r="J18" s="5"/>
      <c r="K18" s="7"/>
    </row>
    <row r="19" spans="1:11" ht="15" customHeight="1">
      <c r="A19" s="45"/>
      <c r="B19" s="46"/>
      <c r="C19" s="47"/>
      <c r="D19" s="47"/>
      <c r="E19" s="47"/>
      <c r="F19" s="47"/>
      <c r="G19" s="47"/>
      <c r="H19" s="47"/>
      <c r="I19" s="47"/>
      <c r="J19" s="47"/>
      <c r="K19" s="48"/>
    </row>
  </sheetData>
  <sheetProtection sheet="1" objects="1" scenarios="1" selectLockedCells="1"/>
  <mergeCells count="20">
    <mergeCell ref="A14:C14"/>
    <mergeCell ref="A15:C15"/>
    <mergeCell ref="G17:H18"/>
    <mergeCell ref="G10:H10"/>
    <mergeCell ref="I10:J10"/>
    <mergeCell ref="E11:E12"/>
    <mergeCell ref="G14:H14"/>
    <mergeCell ref="A1:B1"/>
    <mergeCell ref="F1:K1"/>
    <mergeCell ref="A3:C3"/>
    <mergeCell ref="G3:J6"/>
    <mergeCell ref="E8:E9"/>
    <mergeCell ref="I9:J9"/>
    <mergeCell ref="G7:H7"/>
    <mergeCell ref="I7:J7"/>
    <mergeCell ref="I8:J8"/>
    <mergeCell ref="G9:H9"/>
    <mergeCell ref="G8:H8"/>
    <mergeCell ref="I14:J14"/>
    <mergeCell ref="G13:H13"/>
  </mergeCells>
  <conditionalFormatting sqref="B12">
    <cfRule type="expression" dxfId="7" priority="1">
      <formula>IF(A12="Arrière",B12&gt;10)</formula>
    </cfRule>
  </conditionalFormatting>
  <conditionalFormatting sqref="C6">
    <cfRule type="cellIs" dxfId="6" priority="4" stopIfTrue="1" operator="greaterThan">
      <formula>8000</formula>
    </cfRule>
  </conditionalFormatting>
  <conditionalFormatting sqref="C7">
    <cfRule type="containsText" dxfId="5" priority="5" stopIfTrue="1" operator="containsText" text="Dépassement">
      <formula>NOT(ISERROR(FIND(UPPER("Dépassement"),UPPER(C7))))</formula>
      <formula>"Dépassement"</formula>
    </cfRule>
  </conditionalFormatting>
  <conditionalFormatting sqref="C9">
    <cfRule type="containsText" dxfId="4" priority="6" stopIfTrue="1" operator="containsText" text="error">
      <formula>NOT(ISERROR(FIND(UPPER("error"),UPPER(C9))))</formula>
      <formula>"error"</formula>
    </cfRule>
  </conditionalFormatting>
  <conditionalFormatting sqref="E6">
    <cfRule type="cellIs" dxfId="3" priority="2" operator="lessThan">
      <formula>1043</formula>
    </cfRule>
    <cfRule type="cellIs" dxfId="2" priority="3" operator="greaterThan">
      <formula>1406</formula>
    </cfRule>
  </conditionalFormatting>
  <conditionalFormatting sqref="G12:J12">
    <cfRule type="containsText" dxfId="1" priority="7" stopIfTrue="1" operator="containsText" text="ALT">
      <formula>NOT(ISERROR(FIND(UPPER("ALT"),UPPER(G12))))</formula>
      <formula>"ALT"</formula>
    </cfRule>
  </conditionalFormatting>
  <dataValidations count="2">
    <dataValidation type="list" allowBlank="1" showInputMessage="1" showErrorMessage="1" sqref="A12" xr:uid="{00000000-0002-0000-0400-000000000000}">
      <formula1>"Face,Arrière"</formula1>
    </dataValidation>
    <dataValidation type="list" allowBlank="1" showInputMessage="1" showErrorMessage="1" sqref="C12" xr:uid="{00000000-0002-0000-0400-000001000000}">
      <formula1>"Dure,Herbe"</formula1>
    </dataValidation>
  </dataValidations>
  <pageMargins left="0.7" right="0.7" top="0.75" bottom="0.75" header="0.3" footer="0.3"/>
  <pageSetup scale="62" orientation="landscape"/>
  <headerFooter>
    <oddFooter>&amp;C&amp;"Helvetica Neue,Regular"&amp;12&amp;K000000&amp;P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53"/>
  <sheetViews>
    <sheetView showGridLines="0" workbookViewId="0">
      <selection activeCell="I52" sqref="I52"/>
    </sheetView>
  </sheetViews>
  <sheetFormatPr baseColWidth="10" defaultColWidth="10.85546875" defaultRowHeight="15" customHeight="1"/>
  <cols>
    <col min="1" max="1" width="12.42578125" style="1" customWidth="1"/>
    <col min="2" max="2" width="5.7109375" style="1" customWidth="1"/>
    <col min="3" max="3" width="11.7109375" style="1" customWidth="1"/>
    <col min="4" max="4" width="18.140625" style="1" customWidth="1"/>
    <col min="5" max="5" width="19.7109375" style="1" customWidth="1"/>
    <col min="6" max="6" width="18.140625" style="1" customWidth="1"/>
    <col min="7" max="7" width="19.7109375" style="1" customWidth="1"/>
    <col min="8" max="8" width="17.42578125" style="1" customWidth="1"/>
    <col min="9" max="9" width="19" style="1" customWidth="1"/>
    <col min="10" max="10" width="17.42578125" style="1" customWidth="1"/>
    <col min="11" max="12" width="17.42578125" style="138" customWidth="1"/>
    <col min="13" max="13" width="18.140625" style="1" customWidth="1"/>
    <col min="14" max="14" width="16.42578125" style="1" customWidth="1"/>
    <col min="15" max="15" width="18.140625" style="1" customWidth="1"/>
    <col min="16" max="16" width="17.140625" style="1" customWidth="1"/>
    <col min="17" max="17" width="17.42578125" style="1" customWidth="1"/>
    <col min="18" max="18" width="9" style="1" customWidth="1"/>
    <col min="19" max="19" width="11.42578125" style="1" customWidth="1"/>
    <col min="20" max="20" width="14.85546875" style="1" customWidth="1"/>
    <col min="21" max="21" width="22.140625" style="1" customWidth="1"/>
    <col min="22" max="26" width="23" style="1" customWidth="1"/>
    <col min="27" max="28" width="22.42578125" style="1" customWidth="1"/>
    <col min="29" max="31" width="14.85546875" style="1" customWidth="1"/>
    <col min="32" max="36" width="31" style="1" customWidth="1"/>
    <col min="37" max="37" width="10.85546875" style="1" customWidth="1"/>
    <col min="38" max="16384" width="10.85546875" style="1"/>
  </cols>
  <sheetData>
    <row r="1" spans="1:36" ht="36" customHeight="1">
      <c r="A1" s="280" t="s">
        <v>44</v>
      </c>
      <c r="B1" s="281"/>
      <c r="C1" s="281"/>
      <c r="D1" s="281"/>
      <c r="E1" s="281"/>
      <c r="F1" s="156"/>
      <c r="G1" s="156"/>
      <c r="H1" s="49"/>
      <c r="I1" s="50"/>
      <c r="J1" s="50"/>
      <c r="K1" s="132"/>
      <c r="L1" s="132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5"/>
      <c r="AC1" s="5"/>
      <c r="AD1" s="5"/>
      <c r="AE1" s="49"/>
      <c r="AF1" s="50"/>
      <c r="AG1" s="50"/>
      <c r="AH1" s="50"/>
      <c r="AI1" s="50"/>
      <c r="AJ1" s="50"/>
    </row>
    <row r="2" spans="1:36" ht="13.5" customHeight="1">
      <c r="A2" s="51"/>
      <c r="B2" s="51"/>
      <c r="C2" s="51"/>
      <c r="D2" s="51"/>
      <c r="E2" s="51"/>
      <c r="F2" s="51"/>
      <c r="G2" s="51"/>
      <c r="H2" s="50"/>
      <c r="I2" s="50"/>
      <c r="J2" s="50"/>
      <c r="K2" s="132"/>
      <c r="L2" s="132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5"/>
      <c r="AC2" s="5"/>
      <c r="AD2" s="5"/>
      <c r="AE2" s="49"/>
      <c r="AF2" s="50"/>
      <c r="AG2" s="50"/>
      <c r="AH2" s="50"/>
      <c r="AI2" s="50"/>
      <c r="AJ2" s="50"/>
    </row>
    <row r="3" spans="1:36" ht="13.5" customHeight="1">
      <c r="A3" s="52"/>
      <c r="B3" s="52"/>
      <c r="C3" s="52"/>
      <c r="D3" s="52"/>
      <c r="E3" s="52"/>
      <c r="F3" s="52"/>
      <c r="G3" s="52"/>
      <c r="H3" s="52"/>
      <c r="I3" s="52"/>
      <c r="J3" s="52"/>
      <c r="K3" s="133"/>
      <c r="L3" s="133"/>
      <c r="M3" s="52"/>
      <c r="N3" s="52"/>
      <c r="O3" s="52"/>
      <c r="P3" s="52"/>
      <c r="Q3" s="52"/>
      <c r="R3" s="50"/>
      <c r="S3" s="52"/>
      <c r="T3" s="52"/>
      <c r="U3" s="52"/>
      <c r="V3" s="52"/>
      <c r="W3" s="52"/>
      <c r="X3" s="52"/>
      <c r="Y3" s="52"/>
      <c r="Z3" s="52"/>
      <c r="AA3" s="52"/>
      <c r="AB3" s="82"/>
      <c r="AC3" s="5"/>
      <c r="AD3" s="5"/>
      <c r="AE3" s="49"/>
      <c r="AF3" s="50"/>
      <c r="AG3" s="50"/>
      <c r="AH3" s="50"/>
      <c r="AI3" s="50"/>
      <c r="AJ3" s="50"/>
    </row>
    <row r="4" spans="1:36" ht="18.75" customHeight="1">
      <c r="A4" s="282" t="s">
        <v>19</v>
      </c>
      <c r="B4" s="283"/>
      <c r="C4" s="283"/>
      <c r="D4" s="283"/>
      <c r="E4" s="283"/>
      <c r="F4" s="283"/>
      <c r="G4" s="283"/>
      <c r="H4" s="283"/>
      <c r="I4" s="283"/>
      <c r="J4" s="283"/>
      <c r="K4" s="283"/>
      <c r="L4" s="283"/>
      <c r="M4" s="283"/>
      <c r="N4" s="283"/>
      <c r="O4" s="283"/>
      <c r="P4" s="283"/>
      <c r="Q4" s="283"/>
      <c r="R4" s="53"/>
      <c r="S4" s="219" t="s">
        <v>20</v>
      </c>
      <c r="T4" s="220"/>
      <c r="U4" s="220"/>
      <c r="V4" s="220"/>
      <c r="W4" s="220"/>
      <c r="X4" s="220"/>
      <c r="Y4" s="220"/>
      <c r="Z4" s="220"/>
      <c r="AA4" s="220"/>
      <c r="AB4" s="220"/>
      <c r="AC4" s="92"/>
      <c r="AD4" s="5"/>
      <c r="AE4" s="80"/>
      <c r="AF4" s="52"/>
      <c r="AG4" s="52"/>
      <c r="AH4" s="52"/>
      <c r="AI4" s="52"/>
      <c r="AJ4" s="52"/>
    </row>
    <row r="5" spans="1:36" ht="15.75" customHeight="1" thickBot="1">
      <c r="A5" s="51"/>
      <c r="B5" s="51"/>
      <c r="C5" s="51"/>
      <c r="D5" s="54"/>
      <c r="E5" s="54"/>
      <c r="F5" s="54"/>
      <c r="G5" s="54"/>
      <c r="H5" s="54"/>
      <c r="I5" s="54"/>
      <c r="J5" s="54"/>
      <c r="K5" s="134"/>
      <c r="L5" s="134"/>
      <c r="M5" s="54"/>
      <c r="N5" s="54"/>
      <c r="O5" s="54"/>
      <c r="P5" s="54"/>
      <c r="Q5" s="54"/>
      <c r="R5" s="50"/>
      <c r="S5" s="51"/>
      <c r="T5" s="51"/>
      <c r="U5" s="54"/>
      <c r="V5" s="54"/>
      <c r="W5" s="54"/>
      <c r="X5" s="54"/>
      <c r="Y5" s="54"/>
      <c r="Z5" s="54"/>
      <c r="AA5" s="54"/>
      <c r="AB5" s="90"/>
      <c r="AC5" s="92"/>
      <c r="AD5" s="94"/>
      <c r="AE5" s="221" t="s">
        <v>21</v>
      </c>
      <c r="AF5" s="222"/>
      <c r="AG5" s="222"/>
      <c r="AH5" s="222"/>
      <c r="AI5" s="222"/>
      <c r="AJ5" s="223"/>
    </row>
    <row r="6" spans="1:36" ht="15.75" customHeight="1" thickBot="1">
      <c r="A6" s="56"/>
      <c r="B6" s="56"/>
      <c r="C6" s="224" t="s">
        <v>22</v>
      </c>
      <c r="D6" s="225"/>
      <c r="E6" s="224" t="s">
        <v>22</v>
      </c>
      <c r="F6" s="225"/>
      <c r="G6" s="224" t="s">
        <v>22</v>
      </c>
      <c r="H6" s="225"/>
      <c r="I6" s="224" t="s">
        <v>23</v>
      </c>
      <c r="J6" s="225"/>
      <c r="K6" s="135"/>
      <c r="L6" s="135"/>
      <c r="M6" s="226" t="s">
        <v>41</v>
      </c>
      <c r="N6" s="227"/>
      <c r="O6" s="228" t="s">
        <v>24</v>
      </c>
      <c r="P6" s="229"/>
      <c r="Q6" s="57"/>
      <c r="R6" s="58"/>
      <c r="S6" s="56"/>
      <c r="T6" s="224" t="s">
        <v>22</v>
      </c>
      <c r="U6" s="225"/>
      <c r="V6" s="231" t="s">
        <v>40</v>
      </c>
      <c r="W6" s="232"/>
      <c r="X6" s="232"/>
      <c r="Y6" s="233"/>
      <c r="Z6" s="228" t="s">
        <v>24</v>
      </c>
      <c r="AA6" s="230"/>
      <c r="AB6" s="92"/>
      <c r="AC6" s="5"/>
      <c r="AD6" s="5"/>
      <c r="AE6" s="148"/>
      <c r="AF6" s="54"/>
      <c r="AG6" s="54"/>
      <c r="AH6" s="54"/>
      <c r="AI6" s="51"/>
      <c r="AJ6" s="149"/>
    </row>
    <row r="7" spans="1:36" ht="18.75" customHeight="1">
      <c r="A7" s="234" t="s">
        <v>25</v>
      </c>
      <c r="B7" s="236" t="s">
        <v>26</v>
      </c>
      <c r="C7" s="238">
        <v>1406</v>
      </c>
      <c r="D7" s="239"/>
      <c r="E7" s="238">
        <v>1225</v>
      </c>
      <c r="F7" s="239"/>
      <c r="G7" s="238">
        <v>1043</v>
      </c>
      <c r="H7" s="239"/>
      <c r="I7" s="240">
        <f>'Perfos C182T F-HFBD'!E6</f>
        <v>1338</v>
      </c>
      <c r="J7" s="241"/>
      <c r="K7" s="136"/>
      <c r="L7" s="136"/>
      <c r="M7" s="244">
        <f>'Perfos C182T F-HFBD'!A9</f>
        <v>10</v>
      </c>
      <c r="N7" s="245"/>
      <c r="O7" s="246">
        <f>IF('Perfos C182T F-HFBD'!C6&lt;0,0,'Perfos C182T F-HFBD'!C6)</f>
        <v>0</v>
      </c>
      <c r="P7" s="247"/>
      <c r="Q7" s="59"/>
      <c r="R7" s="248" t="s">
        <v>25</v>
      </c>
      <c r="S7" s="236" t="s">
        <v>26</v>
      </c>
      <c r="T7" s="250">
        <v>1338</v>
      </c>
      <c r="U7" s="251"/>
      <c r="V7" s="252"/>
      <c r="W7" s="253"/>
      <c r="X7" s="130"/>
      <c r="Y7" s="130"/>
      <c r="Z7" s="246">
        <f>IF('Perfos C182T F-HFBD'!C6&lt;0,0,'Perfos C182T F-HFBD'!C6)</f>
        <v>0</v>
      </c>
      <c r="AA7" s="254"/>
      <c r="AB7" s="92"/>
      <c r="AC7" s="5"/>
      <c r="AD7" s="145"/>
      <c r="AE7" s="255" t="s">
        <v>27</v>
      </c>
      <c r="AF7" s="243"/>
      <c r="AG7" s="242" t="s">
        <v>28</v>
      </c>
      <c r="AH7" s="243"/>
      <c r="AI7" s="60"/>
      <c r="AJ7" s="149"/>
    </row>
    <row r="8" spans="1:36" ht="45.75" customHeight="1" thickBot="1">
      <c r="A8" s="235"/>
      <c r="B8" s="237"/>
      <c r="C8" s="61" t="s">
        <v>46</v>
      </c>
      <c r="D8" s="62" t="s">
        <v>47</v>
      </c>
      <c r="E8" s="61" t="s">
        <v>46</v>
      </c>
      <c r="F8" s="62" t="s">
        <v>47</v>
      </c>
      <c r="G8" s="61" t="s">
        <v>46</v>
      </c>
      <c r="H8" s="62" t="s">
        <v>47</v>
      </c>
      <c r="I8" s="61" t="s">
        <v>46</v>
      </c>
      <c r="J8" s="62" t="s">
        <v>47</v>
      </c>
      <c r="K8" s="137" t="s">
        <v>39</v>
      </c>
      <c r="L8" s="137"/>
      <c r="M8" s="99" t="s">
        <v>46</v>
      </c>
      <c r="N8" s="100" t="s">
        <v>47</v>
      </c>
      <c r="O8" s="99" t="s">
        <v>10</v>
      </c>
      <c r="P8" s="100" t="s">
        <v>49</v>
      </c>
      <c r="Q8" s="59"/>
      <c r="R8" s="249"/>
      <c r="S8" s="237"/>
      <c r="T8" s="61" t="s">
        <v>46</v>
      </c>
      <c r="U8" s="62" t="s">
        <v>48</v>
      </c>
      <c r="V8" s="61" t="s">
        <v>46</v>
      </c>
      <c r="W8" s="62" t="s">
        <v>48</v>
      </c>
      <c r="X8" s="99" t="s">
        <v>46</v>
      </c>
      <c r="Y8" s="100" t="s">
        <v>47</v>
      </c>
      <c r="Z8" s="25" t="s">
        <v>10</v>
      </c>
      <c r="AA8" s="91" t="s">
        <v>30</v>
      </c>
      <c r="AB8" s="92"/>
      <c r="AC8" s="5"/>
      <c r="AD8" s="146"/>
      <c r="AE8" s="150" t="s">
        <v>10</v>
      </c>
      <c r="AF8" s="151" t="s">
        <v>11</v>
      </c>
      <c r="AG8" s="152" t="s">
        <v>10</v>
      </c>
      <c r="AH8" s="151" t="s">
        <v>12</v>
      </c>
      <c r="AI8" s="153"/>
      <c r="AJ8" s="154"/>
    </row>
    <row r="9" spans="1:36" ht="18.75" customHeight="1">
      <c r="A9" s="256">
        <v>0</v>
      </c>
      <c r="B9" s="63">
        <v>0</v>
      </c>
      <c r="C9" s="64">
        <v>715</v>
      </c>
      <c r="D9" s="65">
        <v>1365</v>
      </c>
      <c r="E9" s="64">
        <v>520</v>
      </c>
      <c r="F9" s="65">
        <v>995</v>
      </c>
      <c r="G9" s="64">
        <v>365</v>
      </c>
      <c r="H9" s="65">
        <v>705</v>
      </c>
      <c r="I9" s="124">
        <f>IF(I7&gt;=1225,E9+(C9-E9)/181*(I7-1225),G9+(E9-G9)/182*(I7-1043))</f>
        <v>641.74033149171271</v>
      </c>
      <c r="J9" s="125">
        <f>IF(I7&gt;=1225,F9+(D9-F9)/181*(I7-1225),H9+(F9-H9)/182*(I7-1043))</f>
        <v>1225.9944751381215</v>
      </c>
      <c r="K9" s="139">
        <f>IF(M7&lt;=0,I9,0)</f>
        <v>0</v>
      </c>
      <c r="L9" s="139">
        <f>IF(M7&lt;=0,J9,0)</f>
        <v>0</v>
      </c>
      <c r="M9" s="197">
        <f>SUM(K9:K13)</f>
        <v>687.98342541436466</v>
      </c>
      <c r="N9" s="201">
        <f>SUM(L9:L13)</f>
        <v>1311.6022099447514</v>
      </c>
      <c r="O9" s="265">
        <f>(O42+O44)*0.3048</f>
        <v>209.69734806629836</v>
      </c>
      <c r="P9" s="268">
        <f>(P42+P44)*0.3048</f>
        <v>399.77635359116027</v>
      </c>
      <c r="Q9" s="141"/>
      <c r="R9" s="210">
        <v>0</v>
      </c>
      <c r="S9" s="63">
        <v>0</v>
      </c>
      <c r="T9" s="66">
        <v>560</v>
      </c>
      <c r="U9" s="67">
        <v>1300</v>
      </c>
      <c r="V9" s="139">
        <f>IF(M7&lt;=0,T9,0)</f>
        <v>0</v>
      </c>
      <c r="W9" s="139">
        <f>IF(M7&lt;=0,U9,0)</f>
        <v>0</v>
      </c>
      <c r="X9" s="197">
        <f>SUM(V9:V13)</f>
        <v>580</v>
      </c>
      <c r="Y9" s="201">
        <f>SUM(W9:W13)</f>
        <v>1335</v>
      </c>
      <c r="Z9" s="260">
        <f>(Z42+Z44)*0.3048</f>
        <v>176.78400000000002</v>
      </c>
      <c r="AA9" s="262">
        <f>(AA42+AA44)*0.3048</f>
        <v>406.90800000000002</v>
      </c>
      <c r="AB9" s="93"/>
      <c r="AC9" s="94"/>
      <c r="AD9" s="147" t="s">
        <v>31</v>
      </c>
      <c r="AE9" s="68">
        <f>IF('Perfos C182T F-HFBD'!A12="Face",(1-('Perfos C182T F-HFBD'!B12/90))*'Calculs C182T'!O9,IF('Perfos C182T F-HFBD'!A12="Arrière",(1+('Perfos C182T F-HFBD'!B12/20))*'Calculs C182T'!O9))</f>
        <v>209.69734806629836</v>
      </c>
      <c r="AF9" s="68">
        <f>IF('Perfos C182T F-HFBD'!A12="Face",(1-('Perfos C182T F-HFBD'!B12/90))*'Calculs C182T'!P9,IF('Perfos C182T F-HFBD'!A12="Arrière",(1+('Perfos C182T F-HFBD'!B12/20))*'Calculs C182T'!P9))</f>
        <v>399.77635359116027</v>
      </c>
      <c r="AG9" s="68">
        <f>IF('Perfos C182T F-HFBD'!A12="Face",(1-('Perfos C182T F-HFBD'!B12/90))*'Calculs C182T'!Z9,IF('Perfos C182T F-HFBD'!A12="Arrière",(1+('Perfos C182T F-HFBD'!B12/20))*'Calculs C182T'!Z9))</f>
        <v>176.78400000000002</v>
      </c>
      <c r="AH9" s="68">
        <f>IF('Perfos C182T F-HFBD'!A12="Face",(1-('Perfos C182T F-HFBD'!B12/90))*'Calculs C182T'!AA9,IF('Perfos C182T F-HFBD'!A12="Arrière",(1+('Perfos C182T F-HFBD'!B12/20))*'Calculs C182T'!AA9))</f>
        <v>406.90800000000002</v>
      </c>
      <c r="AI9" s="69"/>
    </row>
    <row r="10" spans="1:36" ht="18.75" customHeight="1" thickBot="1">
      <c r="A10" s="258"/>
      <c r="B10" s="70">
        <v>10</v>
      </c>
      <c r="C10" s="71">
        <v>765</v>
      </c>
      <c r="D10" s="72">
        <v>1460</v>
      </c>
      <c r="E10" s="71">
        <v>560</v>
      </c>
      <c r="F10" s="72">
        <v>1065</v>
      </c>
      <c r="G10" s="71">
        <v>390</v>
      </c>
      <c r="H10" s="72">
        <v>750</v>
      </c>
      <c r="I10" s="126">
        <f>IF(I7&gt;=1225,E10+(C10-E10)/181*(I7-1225),G10+(E10-G10)/182*(I7-1043))</f>
        <v>687.98342541436466</v>
      </c>
      <c r="J10" s="127">
        <f>IF(I7&gt;=1225,F10+(D10-F10)/181*(I7-1225),H10+(F10-H10)/182*(I7-1043))</f>
        <v>1311.6022099447514</v>
      </c>
      <c r="K10" s="131">
        <f>IF(AND(M7&gt;0,M7&lt;=10),I9+((I10-I9)/10*M7),0)</f>
        <v>687.98342541436466</v>
      </c>
      <c r="L10" s="131">
        <f>IF(AND(M7&gt;0,M7&lt;=10),J9+((J10-J9)/10*M7),0)</f>
        <v>1311.6022099447514</v>
      </c>
      <c r="M10" s="198"/>
      <c r="N10" s="202"/>
      <c r="O10" s="266"/>
      <c r="P10" s="269"/>
      <c r="Q10" s="141"/>
      <c r="R10" s="212"/>
      <c r="S10" s="70">
        <v>10</v>
      </c>
      <c r="T10" s="73">
        <v>580</v>
      </c>
      <c r="U10" s="74">
        <v>1335</v>
      </c>
      <c r="V10" s="131">
        <f>IF(AND(M7&gt;0,M7&lt;=10),T9+((T10-T9)/10*M7),0)</f>
        <v>580</v>
      </c>
      <c r="W10" s="131">
        <f>IF(AND(M7&gt;0,M7&lt;=10),U9+((U10-U9)/10*M7),0)</f>
        <v>1335</v>
      </c>
      <c r="X10" s="198"/>
      <c r="Y10" s="202"/>
      <c r="Z10" s="260"/>
      <c r="AA10" s="262"/>
      <c r="AB10" s="92"/>
      <c r="AC10" s="94"/>
      <c r="AD10" s="95" t="s">
        <v>32</v>
      </c>
      <c r="AE10" s="96">
        <f>IF('Perfos C182T F-HFBD'!C12="Dure",AE9,AE9*1.15)</f>
        <v>209.69734806629836</v>
      </c>
      <c r="AF10" s="97">
        <f>(AE10+(AF9-AE9))</f>
        <v>399.77635359116027</v>
      </c>
      <c r="AG10" s="96">
        <f>IF('Perfos C182T F-HFBD'!C12="Dure",AG9,AG9*1.45)</f>
        <v>176.78400000000002</v>
      </c>
      <c r="AH10" s="97">
        <f>(AG10+(AH9-AG9))</f>
        <v>406.90800000000002</v>
      </c>
      <c r="AI10" s="98"/>
    </row>
    <row r="11" spans="1:36" ht="18.75" customHeight="1">
      <c r="A11" s="264"/>
      <c r="B11" s="109">
        <v>20</v>
      </c>
      <c r="C11" s="110">
        <v>825</v>
      </c>
      <c r="D11" s="111">
        <v>1570</v>
      </c>
      <c r="E11" s="110">
        <v>600</v>
      </c>
      <c r="F11" s="111">
        <v>1135</v>
      </c>
      <c r="G11" s="110">
        <v>420</v>
      </c>
      <c r="H11" s="111">
        <v>800</v>
      </c>
      <c r="I11" s="126">
        <f>IF(I7&gt;=1225,E11+(C11-E11)/181*(I7-1225),G11+(E11-G11)/182*(I7-1043))</f>
        <v>740.46961325966845</v>
      </c>
      <c r="J11" s="127">
        <f>IF(I7&gt;=1225,F11+(D11-F11)/181*(I7-1225),H11+(F11-H11)/182*(I7-1043))</f>
        <v>1406.5745856353592</v>
      </c>
      <c r="K11" s="131">
        <f>IF(AND(M7&gt;10,M7&lt;=20),I10+(I11-I10)/10*(M7-10),0)</f>
        <v>0</v>
      </c>
      <c r="L11" s="131">
        <f>IF(AND(M7&gt;10,M7&lt;=20),J10+(J11-J10)/10*(M7-10),0)</f>
        <v>0</v>
      </c>
      <c r="M11" s="199"/>
      <c r="N11" s="203"/>
      <c r="O11" s="266"/>
      <c r="P11" s="269"/>
      <c r="Q11" s="141"/>
      <c r="R11" s="271"/>
      <c r="S11" s="109">
        <v>20</v>
      </c>
      <c r="T11" s="112">
        <v>600</v>
      </c>
      <c r="U11" s="113">
        <v>1365</v>
      </c>
      <c r="V11" s="131">
        <f>IF(AND(M7&gt;10,M7&lt;=20),T10+(T11-T10)/10*(M7-10),0)</f>
        <v>0</v>
      </c>
      <c r="W11" s="131">
        <f>IF(AND(M7&gt;10,M7&lt;=20),U10+(U11-U10)/10*(M7-10),0)</f>
        <v>0</v>
      </c>
      <c r="X11" s="199"/>
      <c r="Y11" s="203"/>
      <c r="Z11" s="260"/>
      <c r="AA11" s="262"/>
      <c r="AB11" s="92"/>
      <c r="AC11" s="5"/>
      <c r="AD11" s="114"/>
      <c r="AE11" s="115"/>
      <c r="AF11" s="155"/>
      <c r="AG11" s="115"/>
      <c r="AH11" s="155"/>
      <c r="AI11" s="116"/>
    </row>
    <row r="12" spans="1:36" ht="18.75" customHeight="1">
      <c r="A12" s="264"/>
      <c r="B12" s="109">
        <v>30</v>
      </c>
      <c r="C12" s="110">
        <v>885</v>
      </c>
      <c r="D12" s="111">
        <v>1680</v>
      </c>
      <c r="E12" s="110">
        <v>645</v>
      </c>
      <c r="F12" s="111">
        <v>1215</v>
      </c>
      <c r="G12" s="110">
        <v>450</v>
      </c>
      <c r="H12" s="111">
        <v>850</v>
      </c>
      <c r="I12" s="126">
        <f>IF(I7&gt;=1225,E12+(C12-E12)/181*(I7-1225),G12+(E12-G12)/182*(I7-1043))</f>
        <v>794.83425414364638</v>
      </c>
      <c r="J12" s="127">
        <f>IF(I7&gt;=1225,F12+(D12-F12)/181*(I7-1225),H12+(F12-H12)/182*(I7-1043))</f>
        <v>1505.3038674033151</v>
      </c>
      <c r="K12" s="131">
        <f>IF(AND(M7&gt;20,M7&lt;=30),I11+(I12-I11)/10*(M7-20),0)</f>
        <v>0</v>
      </c>
      <c r="L12" s="131">
        <f>IF(AND(M7&gt;20,M7&lt;=30),J11+(J12-J11)/10*(M7-20),0)</f>
        <v>0</v>
      </c>
      <c r="M12" s="199"/>
      <c r="N12" s="203"/>
      <c r="O12" s="266"/>
      <c r="P12" s="269"/>
      <c r="Q12" s="141"/>
      <c r="R12" s="271"/>
      <c r="S12" s="109">
        <v>30</v>
      </c>
      <c r="T12" s="112">
        <v>620</v>
      </c>
      <c r="U12" s="113">
        <v>1400</v>
      </c>
      <c r="V12" s="131">
        <f>IF(AND(M7&gt;20,M7&lt;=30),T11+(T12-T11)/10*(M7-20),0)</f>
        <v>0</v>
      </c>
      <c r="W12" s="131">
        <f>IF(AND(M7&gt;20,M7&lt;=30),U11+(U12-U11)/10*(M7-20),0)</f>
        <v>0</v>
      </c>
      <c r="X12" s="199"/>
      <c r="Y12" s="203"/>
      <c r="Z12" s="260"/>
      <c r="AA12" s="262"/>
      <c r="AB12" s="92"/>
      <c r="AC12" s="5"/>
      <c r="AD12" s="114"/>
      <c r="AE12" s="115"/>
      <c r="AF12" s="155"/>
      <c r="AG12" s="115"/>
      <c r="AH12" s="155"/>
      <c r="AI12" s="116"/>
    </row>
    <row r="13" spans="1:36" ht="19.5" customHeight="1" thickBot="1">
      <c r="A13" s="259"/>
      <c r="B13" s="75">
        <v>40</v>
      </c>
      <c r="C13" s="76">
        <v>945</v>
      </c>
      <c r="D13" s="77">
        <v>1800</v>
      </c>
      <c r="E13" s="76">
        <v>690</v>
      </c>
      <c r="F13" s="77">
        <v>1295</v>
      </c>
      <c r="G13" s="76">
        <v>480</v>
      </c>
      <c r="H13" s="77">
        <v>905</v>
      </c>
      <c r="I13" s="128">
        <f>IF(I7&gt;=1225,E13+(C13-E13)/181*(I7-1225),G13+(E13-G13)/182*(I7-1043))</f>
        <v>849.1988950276243</v>
      </c>
      <c r="J13" s="129">
        <f>IF(I7&gt;=1225,F13+(D13-F13)/181*(I7-1225),H13+(F13-H13)/182*(I7-1043))</f>
        <v>1610.2762430939226</v>
      </c>
      <c r="K13" s="140">
        <f>IF(AND(M7&gt;30,M7&lt;=40),I12+(I13-I12)/10*(M7-30),0)</f>
        <v>0</v>
      </c>
      <c r="L13" s="140">
        <f>IF(AND(M7&gt;30,M7&lt;=40),J12+(J13-J12)/10*(M7-30),0)</f>
        <v>0</v>
      </c>
      <c r="M13" s="200"/>
      <c r="N13" s="204"/>
      <c r="O13" s="266"/>
      <c r="P13" s="269"/>
      <c r="Q13" s="142"/>
      <c r="R13" s="213"/>
      <c r="S13" s="75">
        <v>40</v>
      </c>
      <c r="T13" s="78">
        <v>640</v>
      </c>
      <c r="U13" s="79">
        <v>1435</v>
      </c>
      <c r="V13" s="140">
        <f>IF(AND(M7&gt;30,M7&lt;=40),T12+(T13-T12)/10*(M7-30),0)</f>
        <v>0</v>
      </c>
      <c r="W13" s="140">
        <f>IF(AND(M7&gt;30,M7&lt;=40),U12+(U13-U12)/10*(M7-30),0)</f>
        <v>0</v>
      </c>
      <c r="X13" s="200"/>
      <c r="Y13" s="204"/>
      <c r="Z13" s="260"/>
      <c r="AA13" s="262"/>
      <c r="AB13" s="92"/>
      <c r="AC13" s="5"/>
      <c r="AD13" s="5"/>
      <c r="AE13" s="5"/>
      <c r="AF13" s="5"/>
      <c r="AG13" s="5"/>
      <c r="AH13" s="5"/>
      <c r="AI13" s="5"/>
    </row>
    <row r="14" spans="1:36" ht="15" customHeight="1">
      <c r="A14" s="256">
        <v>1000</v>
      </c>
      <c r="B14" s="63">
        <v>0</v>
      </c>
      <c r="C14" s="64">
        <v>775</v>
      </c>
      <c r="D14" s="65">
        <v>1490</v>
      </c>
      <c r="E14" s="64">
        <v>565</v>
      </c>
      <c r="F14" s="65">
        <v>1080</v>
      </c>
      <c r="G14" s="64">
        <v>395</v>
      </c>
      <c r="H14" s="65">
        <v>765</v>
      </c>
      <c r="I14" s="124">
        <f>IF(I7&gt;=1225,E14+(C14-E14)/181*(I7-1225),G14+(E14-G14)/182*(I7-1043))</f>
        <v>696.10497237569064</v>
      </c>
      <c r="J14" s="125">
        <f>IF(I7&gt;=1225,F14+(D14-F14)/181*(I7-1225),H14+(F14-H14)/182*(I7-1043))</f>
        <v>1335.9668508287293</v>
      </c>
      <c r="K14" s="139">
        <f>IF(M7&lt;=0,I14,0)</f>
        <v>0</v>
      </c>
      <c r="L14" s="139">
        <f>IF(M7&lt;=0,J14,0)</f>
        <v>0</v>
      </c>
      <c r="M14" s="205">
        <f>SUM(K14:K18)</f>
        <v>750.46961325966845</v>
      </c>
      <c r="N14" s="207">
        <f>SUM(L14:L18)</f>
        <v>1432.8176795580112</v>
      </c>
      <c r="O14" s="266"/>
      <c r="P14" s="269"/>
      <c r="Q14" s="143"/>
      <c r="R14" s="210">
        <v>1000</v>
      </c>
      <c r="S14" s="63">
        <v>0</v>
      </c>
      <c r="T14" s="66">
        <v>580</v>
      </c>
      <c r="U14" s="67">
        <v>1330</v>
      </c>
      <c r="V14" s="139">
        <f>IF(M7&lt;=0,T14,0)</f>
        <v>0</v>
      </c>
      <c r="W14" s="139">
        <f>IF(M7&lt;=0,U14,0)</f>
        <v>0</v>
      </c>
      <c r="X14" s="205">
        <f>SUM(V14:V18)</f>
        <v>600</v>
      </c>
      <c r="Y14" s="207">
        <f>SUM(W14:W18)</f>
        <v>1365</v>
      </c>
      <c r="Z14" s="260"/>
      <c r="AA14" s="262"/>
      <c r="AB14" s="92"/>
      <c r="AC14" s="5"/>
      <c r="AD14" s="5"/>
      <c r="AE14" s="5"/>
      <c r="AF14" s="5"/>
      <c r="AG14" s="5"/>
      <c r="AH14" s="5"/>
      <c r="AI14" s="5"/>
    </row>
    <row r="15" spans="1:36" ht="15" customHeight="1">
      <c r="A15" s="257"/>
      <c r="B15" s="117">
        <v>10</v>
      </c>
      <c r="C15" s="118">
        <v>835</v>
      </c>
      <c r="D15" s="119">
        <v>1600</v>
      </c>
      <c r="E15" s="118">
        <v>610</v>
      </c>
      <c r="F15" s="119">
        <v>1155</v>
      </c>
      <c r="G15" s="118">
        <v>425</v>
      </c>
      <c r="H15" s="119">
        <v>815</v>
      </c>
      <c r="I15" s="126">
        <f>IF(I7&gt;=1225,E15+(C15-E15)/181*(I7-1225),G15+(E15-G15)/182*(I7-1043))</f>
        <v>750.46961325966845</v>
      </c>
      <c r="J15" s="127">
        <f>IF(I7&gt;=1225,F15+(D15-F15)/181*(I7-1225),H15+(F15-H15)/182*(I7-1043))</f>
        <v>1432.8176795580112</v>
      </c>
      <c r="K15" s="131">
        <f>IF(AND(M7&gt;0,M7&lt;=10),I14+((I15-I14)/10*M7),0)</f>
        <v>750.46961325966845</v>
      </c>
      <c r="L15" s="131">
        <f>IF(AND(M7&gt;0,M7&lt;=10),J14+((J15-J14)/10*M7),0)</f>
        <v>1432.8176795580112</v>
      </c>
      <c r="M15" s="206"/>
      <c r="N15" s="208"/>
      <c r="O15" s="266"/>
      <c r="P15" s="269"/>
      <c r="Q15" s="143"/>
      <c r="R15" s="211"/>
      <c r="S15" s="117">
        <v>10</v>
      </c>
      <c r="T15" s="120">
        <v>600</v>
      </c>
      <c r="U15" s="121">
        <v>1365</v>
      </c>
      <c r="V15" s="131">
        <f>IF(AND(M7&gt;0,M7&lt;=10),T14+((T15-T14)/10*M7),0)</f>
        <v>600</v>
      </c>
      <c r="W15" s="131">
        <f>IF(AND(M7&gt;0,M7&lt;=10),U14+((U15-U14)/10*M7),0)</f>
        <v>1365</v>
      </c>
      <c r="X15" s="206"/>
      <c r="Y15" s="208"/>
      <c r="Z15" s="260"/>
      <c r="AA15" s="262"/>
      <c r="AB15" s="92"/>
      <c r="AC15" s="5"/>
      <c r="AD15" s="5"/>
      <c r="AE15" s="5"/>
      <c r="AF15" s="5"/>
      <c r="AG15" s="5"/>
      <c r="AH15" s="5"/>
      <c r="AI15" s="5"/>
    </row>
    <row r="16" spans="1:36" ht="15" customHeight="1">
      <c r="A16" s="257"/>
      <c r="B16" s="117">
        <v>20</v>
      </c>
      <c r="C16" s="118">
        <v>900</v>
      </c>
      <c r="D16" s="119">
        <v>1720</v>
      </c>
      <c r="E16" s="118">
        <v>655</v>
      </c>
      <c r="F16" s="119">
        <v>1235</v>
      </c>
      <c r="G16" s="118">
        <v>455</v>
      </c>
      <c r="H16" s="119">
        <v>870</v>
      </c>
      <c r="I16" s="126">
        <f>IF(I7&gt;=1225,E16+(C16-E16)/181*(I7-1225),G16+(E16-G16)/182*(I7-1043))</f>
        <v>807.95580110497235</v>
      </c>
      <c r="J16" s="127">
        <f>IF(I7&gt;=1225,F16+(D16-F16)/181*(I7-1225),H16+(F16-H16)/182*(I7-1043))</f>
        <v>1537.7900552486187</v>
      </c>
      <c r="K16" s="131">
        <f>IF(AND(M7&gt;10,M7&lt;=20),I15+(I16-I15)/10*(M7-10),0)</f>
        <v>0</v>
      </c>
      <c r="L16" s="131">
        <f>IF(AND(M7&gt;10,M7&lt;=20),J15+(J16-J15)/10*(M7-10),0)</f>
        <v>0</v>
      </c>
      <c r="M16" s="206"/>
      <c r="N16" s="208"/>
      <c r="O16" s="266"/>
      <c r="P16" s="269"/>
      <c r="Q16" s="143"/>
      <c r="R16" s="211"/>
      <c r="S16" s="117">
        <v>20</v>
      </c>
      <c r="T16" s="120">
        <v>620</v>
      </c>
      <c r="U16" s="121">
        <v>1400</v>
      </c>
      <c r="V16" s="131">
        <f>IF(AND(M7&gt;10,M7&lt;=20),T15+(T16-T15)/10*(M7-10),0)</f>
        <v>0</v>
      </c>
      <c r="W16" s="131">
        <f>IF(AND(M7&gt;10,M7&lt;=20),U15+(U16-U15)/10*(M7-10),0)</f>
        <v>0</v>
      </c>
      <c r="X16" s="206"/>
      <c r="Y16" s="208"/>
      <c r="Z16" s="260"/>
      <c r="AA16" s="262"/>
      <c r="AB16" s="92"/>
      <c r="AC16" s="5"/>
      <c r="AD16" s="5"/>
      <c r="AE16" s="5"/>
      <c r="AF16" s="5"/>
      <c r="AG16" s="5"/>
      <c r="AH16" s="5"/>
      <c r="AI16" s="5"/>
    </row>
    <row r="17" spans="1:35" ht="15" customHeight="1">
      <c r="A17" s="258"/>
      <c r="B17" s="70">
        <v>30</v>
      </c>
      <c r="C17" s="71">
        <v>965</v>
      </c>
      <c r="D17" s="72">
        <v>1845</v>
      </c>
      <c r="E17" s="71">
        <v>700</v>
      </c>
      <c r="F17" s="72">
        <v>1320</v>
      </c>
      <c r="G17" s="71">
        <v>490</v>
      </c>
      <c r="H17" s="72">
        <v>925</v>
      </c>
      <c r="I17" s="126">
        <f>IF(I7&gt;=1225,E17+(C17-E17)/181*(I7-1225),G17+(E17-G17)/182*(I7-1043))</f>
        <v>865.44198895027625</v>
      </c>
      <c r="J17" s="127">
        <f>IF(I7&gt;=1225,F17+(D17-F17)/181*(I7-1225),H17+(F17-H17)/182*(I7-1043))</f>
        <v>1647.7624309392265</v>
      </c>
      <c r="K17" s="131">
        <f>IF(AND(M7&gt;20,M7&lt;=30),I16+(I17-I16)/10*(M7-20),0)</f>
        <v>0</v>
      </c>
      <c r="L17" s="131">
        <f>IF(AND(M7&gt;20,M7&lt;=30),J16+(J17-J16)/10*(M7-20),0)</f>
        <v>0</v>
      </c>
      <c r="M17" s="198"/>
      <c r="N17" s="202"/>
      <c r="O17" s="266"/>
      <c r="P17" s="269"/>
      <c r="Q17" s="143"/>
      <c r="R17" s="212"/>
      <c r="S17" s="70">
        <v>30</v>
      </c>
      <c r="T17" s="73">
        <v>645</v>
      </c>
      <c r="U17" s="74">
        <v>1440</v>
      </c>
      <c r="V17" s="131">
        <f>IF(AND(M7&gt;20,M7&lt;=30),T16+(T17-T16)/10*(M7-20),0)</f>
        <v>0</v>
      </c>
      <c r="W17" s="131">
        <f>IF(AND(M7&gt;20,M7&lt;=30),U16+(U17-U16)/10*(M7-20),0)</f>
        <v>0</v>
      </c>
      <c r="X17" s="198"/>
      <c r="Y17" s="202"/>
      <c r="Z17" s="260"/>
      <c r="AA17" s="262"/>
      <c r="AB17" s="92"/>
      <c r="AC17" s="5"/>
      <c r="AD17" s="5"/>
      <c r="AE17" s="5"/>
      <c r="AF17" s="5"/>
      <c r="AG17" s="5"/>
      <c r="AH17" s="5"/>
      <c r="AI17" s="5"/>
    </row>
    <row r="18" spans="1:35" ht="15.75" customHeight="1" thickBot="1">
      <c r="A18" s="259"/>
      <c r="B18" s="75">
        <v>40</v>
      </c>
      <c r="C18" s="76">
        <v>1030</v>
      </c>
      <c r="D18" s="77">
        <v>1980</v>
      </c>
      <c r="E18" s="76">
        <v>750</v>
      </c>
      <c r="F18" s="77">
        <v>1410</v>
      </c>
      <c r="G18" s="76">
        <v>520</v>
      </c>
      <c r="H18" s="77">
        <v>985</v>
      </c>
      <c r="I18" s="128">
        <f>IF(I7&gt;=1225,E18+(C18-E18)/181*(I7-1225),G18+(E18-G18)/182*(I7-1043))</f>
        <v>924.80662983425418</v>
      </c>
      <c r="J18" s="129">
        <f>IF(I7&gt;=1225,F18+(D18-F18)/181*(I7-1225),H18+(F18-H18)/182*(I7-1043))</f>
        <v>1765.8563535911603</v>
      </c>
      <c r="K18" s="140">
        <f>IF(AND(M7&gt;30,M7&lt;=40),I17+(I18-I17)/10*(M7-30),0)</f>
        <v>0</v>
      </c>
      <c r="L18" s="140">
        <f>IF(AND(M7&gt;30,M7&lt;=40),J17+(J18-J17)/10*(M7-30),0)</f>
        <v>0</v>
      </c>
      <c r="M18" s="200"/>
      <c r="N18" s="204"/>
      <c r="O18" s="266"/>
      <c r="P18" s="269"/>
      <c r="Q18" s="143"/>
      <c r="R18" s="213"/>
      <c r="S18" s="75">
        <v>40</v>
      </c>
      <c r="T18" s="78">
        <v>665</v>
      </c>
      <c r="U18" s="79">
        <v>1475</v>
      </c>
      <c r="V18" s="140">
        <f>IF(AND(M7&gt;30,M7&lt;=40),T17+(T18-T17)/10*(M7-30),0)</f>
        <v>0</v>
      </c>
      <c r="W18" s="140">
        <f>IF(AND(M7&gt;30,M7&lt;=40),U17+(U18-U17)/10*(M7-30),0)</f>
        <v>0</v>
      </c>
      <c r="X18" s="200"/>
      <c r="Y18" s="204"/>
      <c r="Z18" s="260"/>
      <c r="AA18" s="262"/>
      <c r="AB18" s="92"/>
      <c r="AC18" s="5"/>
      <c r="AD18" s="5"/>
      <c r="AE18" s="5"/>
      <c r="AF18" s="5"/>
      <c r="AG18" s="5"/>
      <c r="AH18" s="5"/>
      <c r="AI18" s="5"/>
    </row>
    <row r="19" spans="1:35" ht="15" customHeight="1">
      <c r="A19" s="256">
        <v>2000</v>
      </c>
      <c r="B19" s="63">
        <v>0</v>
      </c>
      <c r="C19" s="64">
        <v>850</v>
      </c>
      <c r="D19" s="65">
        <v>1635</v>
      </c>
      <c r="E19" s="64">
        <v>615</v>
      </c>
      <c r="F19" s="65">
        <v>1180</v>
      </c>
      <c r="G19" s="64">
        <v>430</v>
      </c>
      <c r="H19" s="65">
        <v>830</v>
      </c>
      <c r="I19" s="124">
        <f>IF(I7&gt;=1225,E19+(C19-E19)/181*(I7-1225),G19+(E19-G19)/182*(I7-1043))</f>
        <v>761.7127071823204</v>
      </c>
      <c r="J19" s="125">
        <f>IF(I7&gt;=1225,F19+(D19-F19)/181*(I7-1225),H19+(F19-H19)/182*(I7-1043))</f>
        <v>1464.0607734806631</v>
      </c>
      <c r="K19" s="139">
        <f>IF(M7&lt;=0,I19,0)</f>
        <v>0</v>
      </c>
      <c r="L19" s="139">
        <f>IF(M7&lt;=0,J19,0)</f>
        <v>0</v>
      </c>
      <c r="M19" s="205">
        <f>SUM(K19:K23)</f>
        <v>821.07734806629833</v>
      </c>
      <c r="N19" s="207">
        <f>SUM(L19:L23)</f>
        <v>1572.1546961325967</v>
      </c>
      <c r="O19" s="266"/>
      <c r="P19" s="269"/>
      <c r="Q19" s="143"/>
      <c r="R19" s="210">
        <v>2000</v>
      </c>
      <c r="S19" s="63">
        <v>0</v>
      </c>
      <c r="T19" s="66">
        <v>600</v>
      </c>
      <c r="U19" s="67">
        <v>1370</v>
      </c>
      <c r="V19" s="139">
        <f>IF(M7&lt;=0,T19,0)</f>
        <v>0</v>
      </c>
      <c r="W19" s="139">
        <f>IF(M7&lt;=0,U19,0)</f>
        <v>0</v>
      </c>
      <c r="X19" s="205">
        <f>SUM(V19:V23)</f>
        <v>625</v>
      </c>
      <c r="Y19" s="207">
        <f>SUM(W19:W23)</f>
        <v>1405</v>
      </c>
      <c r="Z19" s="260"/>
      <c r="AA19" s="262"/>
      <c r="AB19" s="92"/>
      <c r="AC19" s="5"/>
      <c r="AD19" s="5"/>
      <c r="AE19" s="5"/>
      <c r="AF19" s="5"/>
      <c r="AG19" s="5"/>
      <c r="AH19" s="5"/>
      <c r="AI19" s="5"/>
    </row>
    <row r="20" spans="1:35" ht="15" customHeight="1">
      <c r="A20" s="257"/>
      <c r="B20" s="117">
        <v>10</v>
      </c>
      <c r="C20" s="118">
        <v>915</v>
      </c>
      <c r="D20" s="119">
        <v>1760</v>
      </c>
      <c r="E20" s="118">
        <v>665</v>
      </c>
      <c r="F20" s="119">
        <v>1260</v>
      </c>
      <c r="G20" s="118">
        <v>460</v>
      </c>
      <c r="H20" s="119">
        <v>885</v>
      </c>
      <c r="I20" s="126">
        <f>IF(I7&gt;=1225,E20+(C20-E20)/181*(I7-1225),G20+(E20-G20)/182*(I7-1043))</f>
        <v>821.07734806629833</v>
      </c>
      <c r="J20" s="127">
        <f>IF(I7&gt;=1225,F20+(D20-F20)/181*(I7-1225),H20+(F20-H20)/182*(I7-1043))</f>
        <v>1572.1546961325967</v>
      </c>
      <c r="K20" s="131">
        <f>IF(AND(M7&gt;0,M7&lt;=10),I19+((I20-I19)/10*M7),0)</f>
        <v>821.07734806629833</v>
      </c>
      <c r="L20" s="131">
        <f>IF(AND(M7&gt;0,M7&lt;=10),J19+((J20-J19)/10*M7),0)</f>
        <v>1572.1546961325967</v>
      </c>
      <c r="M20" s="206"/>
      <c r="N20" s="208"/>
      <c r="O20" s="266"/>
      <c r="P20" s="269"/>
      <c r="Q20" s="143"/>
      <c r="R20" s="211"/>
      <c r="S20" s="117">
        <v>10</v>
      </c>
      <c r="T20" s="120">
        <v>625</v>
      </c>
      <c r="U20" s="121">
        <v>1405</v>
      </c>
      <c r="V20" s="131">
        <f>IF(AND(M7&gt;0,M7&lt;=10),T19+((T20-T19)/10*M7),0)</f>
        <v>625</v>
      </c>
      <c r="W20" s="131">
        <f>IF(AND(M7&gt;0,M7&lt;=10),U19+((U20-U19)/10*M7),0)</f>
        <v>1405</v>
      </c>
      <c r="X20" s="206"/>
      <c r="Y20" s="208"/>
      <c r="Z20" s="260"/>
      <c r="AA20" s="262"/>
      <c r="AB20" s="92"/>
      <c r="AC20" s="5"/>
      <c r="AD20" s="5"/>
      <c r="AE20" s="5"/>
      <c r="AF20" s="5"/>
      <c r="AG20" s="5"/>
      <c r="AH20" s="5"/>
      <c r="AI20" s="5"/>
    </row>
    <row r="21" spans="1:35" ht="15" customHeight="1">
      <c r="A21" s="257"/>
      <c r="B21" s="117">
        <v>20</v>
      </c>
      <c r="C21" s="118">
        <v>980</v>
      </c>
      <c r="D21" s="119">
        <v>1890</v>
      </c>
      <c r="E21" s="118">
        <v>710</v>
      </c>
      <c r="F21" s="119">
        <v>1350</v>
      </c>
      <c r="G21" s="118">
        <v>495</v>
      </c>
      <c r="H21" s="119">
        <v>940</v>
      </c>
      <c r="I21" s="126">
        <f>IF(I7&gt;=1225,E21+(C21-E21)/181*(I7-1225),G21+(E21-G21)/182*(I7-1043))</f>
        <v>878.56353591160223</v>
      </c>
      <c r="J21" s="127">
        <f>IF(I7&gt;=1225,F21+(D21-F21)/181*(I7-1225),H21+(F21-H21)/182*(I7-1043))</f>
        <v>1687.1270718232045</v>
      </c>
      <c r="K21" s="131">
        <f>IF(AND(M7&gt;10,M7&lt;=20),I20+(I21-I20)/10*(M7-10),0)</f>
        <v>0</v>
      </c>
      <c r="L21" s="131">
        <f>IF(AND(M7&gt;10,M7&lt;=20),J20+(J21-J20)/10*(M7-10),0)</f>
        <v>0</v>
      </c>
      <c r="M21" s="206"/>
      <c r="N21" s="208"/>
      <c r="O21" s="266"/>
      <c r="P21" s="269"/>
      <c r="Q21" s="143"/>
      <c r="R21" s="211"/>
      <c r="S21" s="117">
        <v>20</v>
      </c>
      <c r="T21" s="120">
        <v>645</v>
      </c>
      <c r="U21" s="121">
        <v>1440</v>
      </c>
      <c r="V21" s="131">
        <f>IF(AND(M7&gt;10,M7&lt;=20),T20+(T21-T20)/10*(M7-10),0)</f>
        <v>0</v>
      </c>
      <c r="W21" s="131">
        <f>IF(AND(M7&gt;10,M7&lt;=20),U20+(U21-U20)/10*(M7-10),0)</f>
        <v>0</v>
      </c>
      <c r="X21" s="206"/>
      <c r="Y21" s="208"/>
      <c r="Z21" s="260"/>
      <c r="AA21" s="262"/>
      <c r="AB21" s="92"/>
      <c r="AC21" s="5"/>
      <c r="AD21" s="5"/>
      <c r="AE21" s="5"/>
      <c r="AF21" s="5"/>
      <c r="AG21" s="5"/>
      <c r="AH21" s="5"/>
      <c r="AI21" s="5"/>
    </row>
    <row r="22" spans="1:35" ht="15" customHeight="1">
      <c r="A22" s="258"/>
      <c r="B22" s="70">
        <v>30</v>
      </c>
      <c r="C22" s="71">
        <v>1055</v>
      </c>
      <c r="D22" s="72">
        <v>2035</v>
      </c>
      <c r="E22" s="71">
        <v>765</v>
      </c>
      <c r="F22" s="72">
        <v>1445</v>
      </c>
      <c r="G22" s="71">
        <v>530</v>
      </c>
      <c r="H22" s="72">
        <v>1005</v>
      </c>
      <c r="I22" s="126">
        <f>IF(I7&gt;=1225,E22+(C22-E22)/181*(I7-1225),G22+(E22-G22)/182*(I7-1043))</f>
        <v>946.04972375690613</v>
      </c>
      <c r="J22" s="127">
        <f>IF(I7&gt;=1225,F22+(D22-F22)/181*(I7-1225),H22+(F22-H22)/182*(I7-1043))</f>
        <v>1813.3425414364642</v>
      </c>
      <c r="K22" s="131">
        <f>IF(AND(M7&gt;20,M7&lt;=30),I21+(I22-I21)/10*(M7-20),0)</f>
        <v>0</v>
      </c>
      <c r="L22" s="131">
        <f>IF(AND(M7&gt;20,M7&lt;=30),J21+(J22-J21)/10*(M7-20),0)</f>
        <v>0</v>
      </c>
      <c r="M22" s="198"/>
      <c r="N22" s="202"/>
      <c r="O22" s="266"/>
      <c r="P22" s="269"/>
      <c r="Q22" s="143"/>
      <c r="R22" s="212"/>
      <c r="S22" s="70">
        <v>30</v>
      </c>
      <c r="T22" s="73">
        <v>670</v>
      </c>
      <c r="U22" s="74">
        <v>1480</v>
      </c>
      <c r="V22" s="131">
        <f>IF(AND(M7&gt;20,M7&lt;=30),T21+(T22-T21)/10*(M7-20),0)</f>
        <v>0</v>
      </c>
      <c r="W22" s="131">
        <f>IF(AND(M7&gt;20,M7&lt;=30),U21+(U22-U21)/10*(M7-20),0)</f>
        <v>0</v>
      </c>
      <c r="X22" s="198"/>
      <c r="Y22" s="202"/>
      <c r="Z22" s="260"/>
      <c r="AA22" s="262"/>
      <c r="AB22" s="92"/>
      <c r="AC22" s="5"/>
      <c r="AD22" s="5"/>
      <c r="AE22" s="5"/>
      <c r="AF22" s="5"/>
      <c r="AG22" s="5"/>
      <c r="AH22" s="5"/>
      <c r="AI22" s="5"/>
    </row>
    <row r="23" spans="1:35" ht="15.75" customHeight="1" thickBot="1">
      <c r="A23" s="259"/>
      <c r="B23" s="75">
        <v>40</v>
      </c>
      <c r="C23" s="76">
        <v>1130</v>
      </c>
      <c r="D23" s="77">
        <v>2190</v>
      </c>
      <c r="E23" s="76">
        <v>820</v>
      </c>
      <c r="F23" s="77">
        <v>1545</v>
      </c>
      <c r="G23" s="76">
        <v>565</v>
      </c>
      <c r="H23" s="77">
        <v>1070</v>
      </c>
      <c r="I23" s="128">
        <f>IF(I7&gt;=1225,E23+(C23-E23)/181*(I7-1225),G23+(E23-G23)/182*(I7-1043))</f>
        <v>1013.5359116022099</v>
      </c>
      <c r="J23" s="129">
        <f>IF(I7&gt;=1225,F23+(D23-F23)/181*(I7-1225),H23+(F23-H23)/182*(I7-1043))</f>
        <v>1947.6795580110497</v>
      </c>
      <c r="K23" s="140">
        <f>IF(AND(M7&gt;30,M7&lt;=40),I22+(I23-I22)/10*(M7-30),0)</f>
        <v>0</v>
      </c>
      <c r="L23" s="140">
        <f>IF(AND(M7&gt;30,M7&lt;=40),J22+(J23-J22)/10*(M7-30),0)</f>
        <v>0</v>
      </c>
      <c r="M23" s="200"/>
      <c r="N23" s="209"/>
      <c r="O23" s="267"/>
      <c r="P23" s="270"/>
      <c r="Q23" s="144"/>
      <c r="R23" s="213"/>
      <c r="S23" s="75">
        <v>40</v>
      </c>
      <c r="T23" s="78">
        <v>690</v>
      </c>
      <c r="U23" s="79">
        <v>1515</v>
      </c>
      <c r="V23" s="140">
        <f>IF(AND(M7&gt;30,M7&lt;=40),T22+(T23-T22)/10*(M7-30),0)</f>
        <v>0</v>
      </c>
      <c r="W23" s="140">
        <f>IF(AND(M7&gt;30,M7&lt;=40),U22+(U23-U22)/10*(M7-30),0)</f>
        <v>0</v>
      </c>
      <c r="X23" s="200"/>
      <c r="Y23" s="209"/>
      <c r="Z23" s="261"/>
      <c r="AA23" s="263"/>
      <c r="AB23" s="92"/>
      <c r="AC23" s="5"/>
      <c r="AD23" s="5"/>
      <c r="AE23" s="5"/>
      <c r="AF23" s="5"/>
      <c r="AG23" s="5"/>
      <c r="AH23" s="5"/>
      <c r="AI23" s="5"/>
    </row>
    <row r="24" spans="1:35" ht="15" customHeight="1">
      <c r="A24" s="256">
        <v>3000</v>
      </c>
      <c r="B24" s="63">
        <v>0</v>
      </c>
      <c r="C24" s="64">
        <v>925</v>
      </c>
      <c r="D24" s="65">
        <v>1800</v>
      </c>
      <c r="E24" s="64">
        <v>675</v>
      </c>
      <c r="F24" s="65">
        <v>1285</v>
      </c>
      <c r="G24" s="64">
        <v>470</v>
      </c>
      <c r="H24" s="65">
        <v>900</v>
      </c>
      <c r="I24" s="124">
        <f>IF(I7&gt;=1225,E24+(C24-E24)/181*(I7-1225),G24+(E24-G24)/182*(I7-1043))</f>
        <v>831.07734806629833</v>
      </c>
      <c r="J24" s="125">
        <f>IF(I7&gt;=1225,F24+(D24-F24)/181*(I7-1225),H24+(F24-H24)/182*(I7-1043))</f>
        <v>1606.5193370165746</v>
      </c>
      <c r="K24" s="139">
        <f>IF(M7&lt;=0,I24,0)</f>
        <v>0</v>
      </c>
      <c r="L24" s="139">
        <f>IF(M7&lt;=0,J24,0)</f>
        <v>0</v>
      </c>
      <c r="M24" s="205">
        <f>SUM(K24:K28)</f>
        <v>893.56353591160223</v>
      </c>
      <c r="N24" s="201">
        <f>SUM(L24:L28)</f>
        <v>1729.6132596685084</v>
      </c>
      <c r="O24" s="272"/>
      <c r="P24" s="5"/>
      <c r="Q24" s="89"/>
      <c r="R24" s="210">
        <v>3000</v>
      </c>
      <c r="S24" s="63">
        <v>0</v>
      </c>
      <c r="T24" s="66">
        <v>625</v>
      </c>
      <c r="U24" s="67">
        <v>1410</v>
      </c>
      <c r="V24" s="139">
        <f>IF(M7&lt;=0,T24,0)</f>
        <v>0</v>
      </c>
      <c r="W24" s="139">
        <f>IF(M7&lt;=0,U24,0)</f>
        <v>0</v>
      </c>
      <c r="X24" s="205">
        <f>SUM(V24:V28)</f>
        <v>645</v>
      </c>
      <c r="Y24" s="201">
        <f>SUM(W24:W28)</f>
        <v>1445</v>
      </c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ht="15" customHeight="1">
      <c r="A25" s="257"/>
      <c r="B25" s="117">
        <v>10</v>
      </c>
      <c r="C25" s="118">
        <v>995</v>
      </c>
      <c r="D25" s="119">
        <v>1940</v>
      </c>
      <c r="E25" s="118">
        <v>725</v>
      </c>
      <c r="F25" s="119">
        <v>1380</v>
      </c>
      <c r="G25" s="118">
        <v>505</v>
      </c>
      <c r="H25" s="119">
        <v>960</v>
      </c>
      <c r="I25" s="126">
        <f>IF(I7&gt;=1225,E25+(C25-E25)/181*(I7-1225),G25+(E25-G25)/182*(I7-1043))</f>
        <v>893.56353591160223</v>
      </c>
      <c r="J25" s="127">
        <f>IF(I7&gt;=1225,F25+(D25-F25)/181*(I7-1225),H25+(F25-H25)/182*(I7-1043))</f>
        <v>1729.6132596685084</v>
      </c>
      <c r="K25" s="131">
        <f>IF(AND(M7&gt;0,M7&lt;=10),I24+((I25-I24)/10*M7),0)</f>
        <v>893.56353591160223</v>
      </c>
      <c r="L25" s="131">
        <f>IF(AND(M7&gt;0,M7&lt;=10),J24+((J25-J24)/10*M7),0)</f>
        <v>1729.6132596685084</v>
      </c>
      <c r="M25" s="206"/>
      <c r="N25" s="208"/>
      <c r="O25" s="272"/>
      <c r="P25" s="5"/>
      <c r="Q25" s="89"/>
      <c r="R25" s="211"/>
      <c r="S25" s="117">
        <v>10</v>
      </c>
      <c r="T25" s="120">
        <v>645</v>
      </c>
      <c r="U25" s="121">
        <v>1445</v>
      </c>
      <c r="V25" s="131">
        <f>IF(AND(M7&gt;0,M7&lt;=10),T24+((T25-T24)/10*M7),0)</f>
        <v>645</v>
      </c>
      <c r="W25" s="131">
        <f>IF(AND(M7&gt;0,M7&lt;=10),U24+((U25-U24)/10*M7),0)</f>
        <v>1445</v>
      </c>
      <c r="X25" s="206"/>
      <c r="Y25" s="208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ht="15" customHeight="1">
      <c r="A26" s="257"/>
      <c r="B26" s="117">
        <v>20</v>
      </c>
      <c r="C26" s="118">
        <v>1070</v>
      </c>
      <c r="D26" s="119">
        <v>2090</v>
      </c>
      <c r="E26" s="118">
        <v>775</v>
      </c>
      <c r="F26" s="119">
        <v>1480</v>
      </c>
      <c r="G26" s="118">
        <v>540</v>
      </c>
      <c r="H26" s="119">
        <v>1025</v>
      </c>
      <c r="I26" s="126">
        <f>IF(I7&gt;=1225,E26+(C26-E26)/181*(I7-1225),G26+(E26-G26)/182*(I7-1043))</f>
        <v>959.17127071823211</v>
      </c>
      <c r="J26" s="127">
        <f>IF(I7&gt;=1225,F26+(D26-F26)/181*(I7-1225),H26+(F26-H26)/182*(I7-1043))</f>
        <v>1860.8287292817679</v>
      </c>
      <c r="K26" s="131">
        <f>IF(AND(M7&gt;10,M7&lt;=20),I25+(I26-I25)/10*(M7-10),0)</f>
        <v>0</v>
      </c>
      <c r="L26" s="131">
        <f>IF(AND(M7&gt;10,M7&lt;=20),J25+(J26-J25)/10*(M7-10),0)</f>
        <v>0</v>
      </c>
      <c r="M26" s="206"/>
      <c r="N26" s="208"/>
      <c r="O26" s="272"/>
      <c r="P26" s="5"/>
      <c r="Q26" s="89"/>
      <c r="R26" s="211"/>
      <c r="S26" s="117">
        <v>20</v>
      </c>
      <c r="T26" s="120">
        <v>670</v>
      </c>
      <c r="U26" s="121">
        <v>1485</v>
      </c>
      <c r="V26" s="131">
        <f>IF(AND(M7&gt;10,M7&lt;=20),T25+(T26-T25)/10*(M7-10),0)</f>
        <v>0</v>
      </c>
      <c r="W26" s="131">
        <f>IF(AND(M7&gt;10,M7&lt;=20),U25+(U26-U25)/10*(M7-10),0)</f>
        <v>0</v>
      </c>
      <c r="X26" s="206"/>
      <c r="Y26" s="208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ht="15" customHeight="1">
      <c r="A27" s="258"/>
      <c r="B27" s="70">
        <v>30</v>
      </c>
      <c r="C27" s="71">
        <v>1150</v>
      </c>
      <c r="D27" s="72">
        <v>2255</v>
      </c>
      <c r="E27" s="71">
        <v>835</v>
      </c>
      <c r="F27" s="72">
        <v>1585</v>
      </c>
      <c r="G27" s="71">
        <v>580</v>
      </c>
      <c r="H27" s="72">
        <v>1090</v>
      </c>
      <c r="I27" s="126">
        <f>IF(I7&gt;=1225,E27+(C27-E27)/181*(I7-1225),G27+(E27-G27)/182*(I7-1043))</f>
        <v>1031.657458563536</v>
      </c>
      <c r="J27" s="127">
        <f>IF(I7&gt;=1225,F27+(D27-F27)/181*(I7-1225),H27+(F27-H27)/182*(I7-1043))</f>
        <v>2003.2872928176796</v>
      </c>
      <c r="K27" s="131">
        <f>IF(AND(M7&gt;20,M7&lt;=30),I26+(I27-I26)/10*(M7-20),0)</f>
        <v>0</v>
      </c>
      <c r="L27" s="131">
        <f>IF(AND(M7&gt;20,M7&lt;=30),J26+(J27-J26)/10*(M7-20),0)</f>
        <v>0</v>
      </c>
      <c r="M27" s="198"/>
      <c r="N27" s="202"/>
      <c r="O27" s="272"/>
      <c r="P27" s="5"/>
      <c r="Q27" s="89"/>
      <c r="R27" s="212"/>
      <c r="S27" s="70">
        <v>30</v>
      </c>
      <c r="T27" s="73">
        <v>695</v>
      </c>
      <c r="U27" s="74">
        <v>1525</v>
      </c>
      <c r="V27" s="131">
        <f>IF(AND(M7&gt;20,M7&lt;=30),T26+(T27-T26)/10*(M7-20),0)</f>
        <v>0</v>
      </c>
      <c r="W27" s="131">
        <f>IF(AND(M7&gt;20,M7&lt;=30),U26+(U27-U26)/10*(M7-20),0)</f>
        <v>0</v>
      </c>
      <c r="X27" s="198"/>
      <c r="Y27" s="202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 ht="15.75" customHeight="1" thickBot="1">
      <c r="A28" s="273"/>
      <c r="B28" s="101">
        <v>40</v>
      </c>
      <c r="C28" s="102">
        <v>1235</v>
      </c>
      <c r="D28" s="103">
        <v>2435</v>
      </c>
      <c r="E28" s="102">
        <v>895</v>
      </c>
      <c r="F28" s="103">
        <v>1695</v>
      </c>
      <c r="G28" s="102">
        <v>620</v>
      </c>
      <c r="H28" s="103">
        <v>1165</v>
      </c>
      <c r="I28" s="128">
        <f>IF(I7&gt;=1225,E28+(C28-E28)/181*(I7-1225),G28+(E28-G28)/182*(I7-1043))</f>
        <v>1107.2651933701657</v>
      </c>
      <c r="J28" s="129">
        <f>IF(I7&gt;=1225,F28+(D28-F28)/181*(I7-1225),H28+(F28-H28)/182*(I7-1043))</f>
        <v>2156.988950276243</v>
      </c>
      <c r="K28" s="140">
        <f>IF(AND(M7&gt;30,M7&lt;=40),I27+(I28-I27)/10*(M7-30),0)</f>
        <v>0</v>
      </c>
      <c r="L28" s="140">
        <f>IF(AND(M7&gt;30,M7&lt;=40),J27+(J28-J27)/10*(M7-30),0)</f>
        <v>0</v>
      </c>
      <c r="M28" s="214"/>
      <c r="N28" s="209"/>
      <c r="O28" s="272"/>
      <c r="P28" s="5"/>
      <c r="Q28" s="89"/>
      <c r="R28" s="213"/>
      <c r="S28" s="75">
        <v>40</v>
      </c>
      <c r="T28" s="78">
        <v>715</v>
      </c>
      <c r="U28" s="79">
        <v>1560</v>
      </c>
      <c r="V28" s="140">
        <f>IF(AND(M7&gt;30,M7&lt;=40),T27+(T28-T27)/10*(M7-30),0)</f>
        <v>0</v>
      </c>
      <c r="W28" s="140">
        <f>IF(AND(M7&gt;30,M7&lt;=40),U27+(U28-U27)/10*(M7-30),0)</f>
        <v>0</v>
      </c>
      <c r="X28" s="214"/>
      <c r="Y28" s="209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spans="1:35" ht="15" customHeight="1">
      <c r="A29" s="256">
        <v>4000</v>
      </c>
      <c r="B29" s="63">
        <v>0</v>
      </c>
      <c r="C29" s="64">
        <v>1015</v>
      </c>
      <c r="D29" s="65">
        <v>1990</v>
      </c>
      <c r="E29" s="64">
        <v>735</v>
      </c>
      <c r="F29" s="65">
        <v>1410</v>
      </c>
      <c r="G29" s="64">
        <v>510</v>
      </c>
      <c r="H29" s="65">
        <v>980</v>
      </c>
      <c r="I29" s="124">
        <f>IF(I7&gt;=1225,E29+(C29-E29)/181*(I7-1225),G29+(E29-G29)/182*(I7-1043))</f>
        <v>909.80662983425418</v>
      </c>
      <c r="J29" s="125">
        <f>IF(I7&gt;=1225,F29+(D29-F29)/181*(I7-1225),H29+(F29-H29)/182*(I7-1043))</f>
        <v>1772.0994475138123</v>
      </c>
      <c r="K29" s="139">
        <f>IF(M7&lt;=0,I29,0)</f>
        <v>0</v>
      </c>
      <c r="L29" s="139">
        <f>IF(M7&lt;=0,J29,0)</f>
        <v>0</v>
      </c>
      <c r="M29" s="205">
        <f>SUM(K29:K33)</f>
        <v>977.29281767955797</v>
      </c>
      <c r="N29" s="201">
        <f>SUM(L29:L33)</f>
        <v>1909.5580110497237</v>
      </c>
      <c r="O29" s="272"/>
      <c r="P29" s="5"/>
      <c r="Q29" s="89"/>
      <c r="R29" s="210">
        <v>4000</v>
      </c>
      <c r="S29" s="63">
        <v>0</v>
      </c>
      <c r="T29" s="66">
        <v>650</v>
      </c>
      <c r="U29" s="67">
        <v>1450</v>
      </c>
      <c r="V29" s="139">
        <f>IF(M7&lt;=0,T29,0)</f>
        <v>0</v>
      </c>
      <c r="W29" s="139">
        <f>IF(M7&lt;=0,U29,0)</f>
        <v>0</v>
      </c>
      <c r="X29" s="205">
        <f>SUM(V29:V33)</f>
        <v>670</v>
      </c>
      <c r="Y29" s="201">
        <f>SUM(W29:W33)</f>
        <v>1485</v>
      </c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 ht="15" customHeight="1">
      <c r="A30" s="257"/>
      <c r="B30" s="117">
        <v>10</v>
      </c>
      <c r="C30" s="118">
        <v>1090</v>
      </c>
      <c r="D30" s="119">
        <v>2150</v>
      </c>
      <c r="E30" s="118">
        <v>790</v>
      </c>
      <c r="F30" s="119">
        <v>1510</v>
      </c>
      <c r="G30" s="118">
        <v>550</v>
      </c>
      <c r="H30" s="119">
        <v>1045</v>
      </c>
      <c r="I30" s="126">
        <f>IF(I7&gt;=1225,E30+(C30-E30)/181*(I7-1225),G30+(E30-G30)/182*(I7-1043))</f>
        <v>977.29281767955797</v>
      </c>
      <c r="J30" s="127">
        <f>IF(I7&gt;=1225,F30+(D30-F30)/181*(I7-1225),H30+(F30-H30)/182*(I7-1043))</f>
        <v>1909.5580110497237</v>
      </c>
      <c r="K30" s="131">
        <f>IF(AND(M7&gt;0,M7&lt;=10),I29+((I30-I29)/10*M7),0)</f>
        <v>977.29281767955797</v>
      </c>
      <c r="L30" s="131">
        <f>IF(AND(M7&gt;0,M7&lt;=10),J29+((J30-J29)/10*M7),0)</f>
        <v>1909.5580110497237</v>
      </c>
      <c r="M30" s="206"/>
      <c r="N30" s="208"/>
      <c r="O30" s="272"/>
      <c r="P30" s="5"/>
      <c r="Q30" s="89"/>
      <c r="R30" s="211"/>
      <c r="S30" s="117">
        <v>10</v>
      </c>
      <c r="T30" s="120">
        <v>670</v>
      </c>
      <c r="U30" s="121">
        <v>1485</v>
      </c>
      <c r="V30" s="131">
        <f>IF(AND(M7&gt;0,M7&lt;=10),T29+((T30-T29)/10*M7),0)</f>
        <v>670</v>
      </c>
      <c r="W30" s="131">
        <f>IF(AND(M7&gt;0,M7&lt;=10),U29+((U30-U29)/10*M7),0)</f>
        <v>1485</v>
      </c>
      <c r="X30" s="206"/>
      <c r="Y30" s="208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 ht="15" customHeight="1">
      <c r="A31" s="257"/>
      <c r="B31" s="117">
        <v>20</v>
      </c>
      <c r="C31" s="118">
        <v>1175</v>
      </c>
      <c r="D31" s="119">
        <v>2325</v>
      </c>
      <c r="E31" s="118">
        <v>850</v>
      </c>
      <c r="F31" s="119">
        <v>1625</v>
      </c>
      <c r="G31" s="118">
        <v>590</v>
      </c>
      <c r="H31" s="119">
        <v>1115</v>
      </c>
      <c r="I31" s="126">
        <f>IF(I7&gt;=1225,E31+(C31-E31)/181*(I7-1225),G31+(E31-G31)/182*(I7-1043))</f>
        <v>1052.9005524861877</v>
      </c>
      <c r="J31" s="127">
        <f>IF(I7&gt;=1225,F31+(D31-F31)/181*(I7-1225),H31+(F31-H31)/182*(I7-1043))</f>
        <v>2062.0165745856352</v>
      </c>
      <c r="K31" s="131">
        <f>IF(AND(M7&gt;10,M7&lt;=20),I30+(I31-I30)/10*(M7-10),0)</f>
        <v>0</v>
      </c>
      <c r="L31" s="131">
        <f>IF(AND(M7&gt;10,M7&lt;=20),J30+(J31-J30)/10*(M7-10),0)</f>
        <v>0</v>
      </c>
      <c r="M31" s="206"/>
      <c r="N31" s="208"/>
      <c r="O31" s="272"/>
      <c r="P31" s="5"/>
      <c r="Q31" s="89"/>
      <c r="R31" s="211"/>
      <c r="S31" s="117">
        <v>20</v>
      </c>
      <c r="T31" s="120">
        <v>695</v>
      </c>
      <c r="U31" s="121">
        <v>1525</v>
      </c>
      <c r="V31" s="131">
        <f>IF(AND(M7&gt;10,M7&lt;=20),T30+(T31-T30)/10*(M7-10),0)</f>
        <v>0</v>
      </c>
      <c r="W31" s="131">
        <f>IF(AND(M7&gt;10,M7&lt;=20),U30+(U31-U30)/10*(M7-10),0)</f>
        <v>0</v>
      </c>
      <c r="X31" s="206"/>
      <c r="Y31" s="208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ht="15" customHeight="1">
      <c r="A32" s="258"/>
      <c r="B32" s="70">
        <v>30</v>
      </c>
      <c r="C32" s="71">
        <v>1260</v>
      </c>
      <c r="D32" s="72">
        <v>2515</v>
      </c>
      <c r="E32" s="71">
        <v>910</v>
      </c>
      <c r="F32" s="72">
        <v>1740</v>
      </c>
      <c r="G32" s="71">
        <v>630</v>
      </c>
      <c r="H32" s="72">
        <v>1190</v>
      </c>
      <c r="I32" s="126">
        <f>IF(I7&gt;=1225,E32+(C32-E32)/181*(I7-1225),G32+(E32-G32)/182*(I7-1043))</f>
        <v>1128.5082872928176</v>
      </c>
      <c r="J32" s="127">
        <f>IF(I7&gt;=1225,F32+(D32-F32)/181*(I7-1225),H32+(F32-H32)/182*(I7-1043))</f>
        <v>2223.8397790055251</v>
      </c>
      <c r="K32" s="131">
        <f>IF(AND(M7&gt;20,M7&lt;=30),I31+(I32-I31)/10*(M7-20),0)</f>
        <v>0</v>
      </c>
      <c r="L32" s="131">
        <f>IF(AND(M7&gt;20,M7&lt;=30),J31+(J32-J31)/10*(M7-20),0)</f>
        <v>0</v>
      </c>
      <c r="M32" s="198"/>
      <c r="N32" s="202"/>
      <c r="O32" s="272"/>
      <c r="P32" s="5"/>
      <c r="Q32" s="89"/>
      <c r="R32" s="212"/>
      <c r="S32" s="70">
        <v>30</v>
      </c>
      <c r="T32" s="73">
        <v>720</v>
      </c>
      <c r="U32" s="74">
        <v>1565</v>
      </c>
      <c r="V32" s="131">
        <f>IF(AND(M7&gt;20,M7&lt;=30),T31+(T32-T31)/10*(M7-20),0)</f>
        <v>0</v>
      </c>
      <c r="W32" s="131">
        <f>IF(AND(M7&gt;20,M7&lt;=30),U31+(U32-U31)/10*(M7-20),0)</f>
        <v>0</v>
      </c>
      <c r="X32" s="198"/>
      <c r="Y32" s="202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35" ht="15.75" customHeight="1" thickBot="1">
      <c r="A33" s="273"/>
      <c r="B33" s="101">
        <v>40</v>
      </c>
      <c r="C33" s="102">
        <v>1355</v>
      </c>
      <c r="D33" s="103">
        <v>2720</v>
      </c>
      <c r="E33" s="102">
        <v>975</v>
      </c>
      <c r="F33" s="103">
        <v>1870</v>
      </c>
      <c r="G33" s="102">
        <v>675</v>
      </c>
      <c r="H33" s="103">
        <v>1270</v>
      </c>
      <c r="I33" s="128">
        <f>IF(I7&gt;=1225,E33+(C33-E33)/181*(I7-1225),G33+(E33-G33)/182*(I7-1043))</f>
        <v>1212.2375690607735</v>
      </c>
      <c r="J33" s="129">
        <f>IF(I7&gt;=1225,F33+(D33-F33)/181*(I7-1225),H33+(F33-H33)/182*(I7-1043))</f>
        <v>2400.6629834254145</v>
      </c>
      <c r="K33" s="140">
        <f>IF(AND(M7&gt;30,M7&lt;=40),I32+(I33-I32)/10*(M7-30),0)</f>
        <v>0</v>
      </c>
      <c r="L33" s="140">
        <f>IF(AND(M7&gt;30,M7&lt;=40),J32+(J33-J32)/10*(M7-30),0)</f>
        <v>0</v>
      </c>
      <c r="M33" s="214"/>
      <c r="N33" s="209"/>
      <c r="O33" s="272"/>
      <c r="P33" s="5"/>
      <c r="Q33" s="89"/>
      <c r="R33" s="213"/>
      <c r="S33" s="75">
        <v>40</v>
      </c>
      <c r="T33" s="78">
        <v>740</v>
      </c>
      <c r="U33" s="79">
        <v>1600</v>
      </c>
      <c r="V33" s="140">
        <f>IF(AND(M7&gt;30,M7&lt;=40),T32+(T33-T32)/10*(M7-30),0)</f>
        <v>0</v>
      </c>
      <c r="W33" s="140">
        <f>IF(AND(M7&gt;30,M7&lt;=40),U32+(U33-U32)/10*(M7-30),0)</f>
        <v>0</v>
      </c>
      <c r="X33" s="214"/>
      <c r="Y33" s="209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35" ht="15" customHeight="1">
      <c r="A34" s="256">
        <v>5000</v>
      </c>
      <c r="B34" s="63">
        <v>0</v>
      </c>
      <c r="C34" s="64">
        <v>1110</v>
      </c>
      <c r="D34" s="65">
        <v>2210</v>
      </c>
      <c r="E34" s="64">
        <v>805</v>
      </c>
      <c r="F34" s="65">
        <v>1550</v>
      </c>
      <c r="G34" s="64">
        <v>555</v>
      </c>
      <c r="H34" s="65">
        <v>1065</v>
      </c>
      <c r="I34" s="124">
        <f>IF(I7&gt;=1225,E34+(C34-E34)/181*(I7-1225),G34+(E34-G34)/182*(I7-1043))</f>
        <v>995.41436464088395</v>
      </c>
      <c r="J34" s="125">
        <f>IF(I7&gt;=1225,F34+(D34-F34)/181*(I7-1225),H34+(F34-H34)/182*(I7-1043))</f>
        <v>1962.0441988950276</v>
      </c>
      <c r="K34" s="139">
        <f>IF(M7&lt;=0,I34,0)</f>
        <v>0</v>
      </c>
      <c r="L34" s="139">
        <f>IF(M7&lt;=0,J34,0)</f>
        <v>0</v>
      </c>
      <c r="M34" s="205">
        <f>SUM(K34:K38)</f>
        <v>1071.0220994475139</v>
      </c>
      <c r="N34" s="201">
        <f>SUM(L34:L38)</f>
        <v>2120.7458563535911</v>
      </c>
      <c r="O34" s="272"/>
      <c r="P34" s="5"/>
      <c r="Q34" s="89"/>
      <c r="R34" s="210">
        <v>5000</v>
      </c>
      <c r="S34" s="63">
        <v>0</v>
      </c>
      <c r="T34" s="66">
        <v>670</v>
      </c>
      <c r="U34" s="67">
        <v>1485</v>
      </c>
      <c r="V34" s="139">
        <f>IF(M7&lt;=0,T34,0)</f>
        <v>0</v>
      </c>
      <c r="W34" s="139">
        <f>IF(M7&lt;=0,U34,0)</f>
        <v>0</v>
      </c>
      <c r="X34" s="205">
        <f>SUM(V34:V38)</f>
        <v>695</v>
      </c>
      <c r="Y34" s="201">
        <f>SUM(W34:W38)</f>
        <v>1525</v>
      </c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35" ht="15" customHeight="1">
      <c r="A35" s="257"/>
      <c r="B35" s="117">
        <v>10</v>
      </c>
      <c r="C35" s="118">
        <v>1195</v>
      </c>
      <c r="D35" s="119">
        <v>2395</v>
      </c>
      <c r="E35" s="118">
        <v>865</v>
      </c>
      <c r="F35" s="119">
        <v>1665</v>
      </c>
      <c r="G35" s="118">
        <v>600</v>
      </c>
      <c r="H35" s="119">
        <v>1140</v>
      </c>
      <c r="I35" s="126">
        <f>IF(I7&gt;=1225,E35+(C35-E35)/181*(I7-1225),G35+(E35-G35)/182*(I7-1043))</f>
        <v>1071.0220994475139</v>
      </c>
      <c r="J35" s="127">
        <f>IF(I7&gt;=1225,F35+(D35-F35)/181*(I7-1225),H35+(F35-H35)/182*(I7-1043))</f>
        <v>2120.7458563535911</v>
      </c>
      <c r="K35" s="131">
        <f>IF(AND(M7&gt;0,M7&lt;=10),I34+((I35-I34)/10*M7),0)</f>
        <v>1071.0220994475139</v>
      </c>
      <c r="L35" s="131">
        <f>IF(AND(M7&gt;0,M7&lt;=10),J34+((J35-J34)/10*M7),0)</f>
        <v>2120.7458563535911</v>
      </c>
      <c r="M35" s="206"/>
      <c r="N35" s="208"/>
      <c r="O35" s="272"/>
      <c r="P35" s="5"/>
      <c r="Q35" s="89"/>
      <c r="R35" s="211"/>
      <c r="S35" s="117">
        <v>10</v>
      </c>
      <c r="T35" s="120">
        <v>695</v>
      </c>
      <c r="U35" s="121">
        <v>1525</v>
      </c>
      <c r="V35" s="131">
        <f>IF(AND(M7&gt;0,M7&lt;=10),T34+((T35-T34)/10*M7),0)</f>
        <v>695</v>
      </c>
      <c r="W35" s="131">
        <f>IF(AND(M7&gt;0,M7&lt;=10),U34+((U35-U34)/10*M7),0)</f>
        <v>1525</v>
      </c>
      <c r="X35" s="206"/>
      <c r="Y35" s="208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35" ht="15" customHeight="1">
      <c r="A36" s="257"/>
      <c r="B36" s="117">
        <v>20</v>
      </c>
      <c r="C36" s="118">
        <v>1290</v>
      </c>
      <c r="D36" s="119">
        <v>2595</v>
      </c>
      <c r="E36" s="118">
        <v>930</v>
      </c>
      <c r="F36" s="119">
        <v>1790</v>
      </c>
      <c r="G36" s="118">
        <v>640</v>
      </c>
      <c r="H36" s="119">
        <v>1220</v>
      </c>
      <c r="I36" s="126">
        <f>IF(I7&gt;=1225,E36+(C36-E36)/181*(I7-1225),G36+(E36-G36)/182*(I7-1043))</f>
        <v>1154.7513812154696</v>
      </c>
      <c r="J36" s="127">
        <f>IF(I7&gt;=1225,F36+(D36-F36)/181*(I7-1225),H36+(F36-H36)/182*(I7-1043))</f>
        <v>2292.5690607734805</v>
      </c>
      <c r="K36" s="131">
        <f>IF(AND(M7&gt;10,M7&lt;=20),I35+(I36-I35)/10*(M7-10),0)</f>
        <v>0</v>
      </c>
      <c r="L36" s="131">
        <f>IF(AND(M7&gt;10,M7&lt;=20),J35+(J36-J35)/10*(M7-10),0)</f>
        <v>0</v>
      </c>
      <c r="M36" s="206"/>
      <c r="N36" s="208"/>
      <c r="O36" s="272"/>
      <c r="P36" s="5"/>
      <c r="Q36" s="89"/>
      <c r="R36" s="211"/>
      <c r="S36" s="117">
        <v>20</v>
      </c>
      <c r="T36" s="120">
        <v>720</v>
      </c>
      <c r="U36" s="121">
        <v>1565</v>
      </c>
      <c r="V36" s="131">
        <f>IF(AND(M7&gt;10,M7&lt;=20),T35+(T36-T35)/10*(M7-10),0)</f>
        <v>0</v>
      </c>
      <c r="W36" s="131">
        <f>IF(AND(M7&gt;10,M7&lt;=20),U35+(U36-U35)/10*(M7-10),0)</f>
        <v>0</v>
      </c>
      <c r="X36" s="206"/>
      <c r="Y36" s="208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spans="1:35" ht="15" customHeight="1">
      <c r="A37" s="258"/>
      <c r="B37" s="70">
        <v>30</v>
      </c>
      <c r="C37" s="71">
        <v>1385</v>
      </c>
      <c r="D37" s="72">
        <v>2820</v>
      </c>
      <c r="E37" s="71">
        <v>1000</v>
      </c>
      <c r="F37" s="72">
        <v>1920</v>
      </c>
      <c r="G37" s="71">
        <v>690</v>
      </c>
      <c r="H37" s="72">
        <v>1305</v>
      </c>
      <c r="I37" s="126">
        <f>IF(I7&gt;=1225,E37+(C37-E37)/181*(I7-1225),G37+(E37-G37)/182*(I7-1043))</f>
        <v>1240.3591160220994</v>
      </c>
      <c r="J37" s="127">
        <f>IF(I7&gt;=1225,F37+(D37-F37)/181*(I7-1225),H37+(F37-H37)/182*(I7-1043))</f>
        <v>2481.8784530386738</v>
      </c>
      <c r="K37" s="131">
        <f>IF(AND(M7&gt;20,M7&lt;=30),I36+(I37-I36)/10*(M7-20),0)</f>
        <v>0</v>
      </c>
      <c r="L37" s="131">
        <f>IF(AND(M7&gt;20,M7&lt;=30),J36+(J37-J36)/10*(M7-20),0)</f>
        <v>0</v>
      </c>
      <c r="M37" s="198"/>
      <c r="N37" s="202"/>
      <c r="O37" s="272"/>
      <c r="P37" s="5"/>
      <c r="Q37" s="89"/>
      <c r="R37" s="212"/>
      <c r="S37" s="70">
        <v>30</v>
      </c>
      <c r="T37" s="73">
        <v>745</v>
      </c>
      <c r="U37" s="74">
        <v>1610</v>
      </c>
      <c r="V37" s="131">
        <f>IF(AND(M7&gt;20,M7&lt;=30),T36+(T37-T36)/10*(M7-20),0)</f>
        <v>0</v>
      </c>
      <c r="W37" s="131">
        <f>IF(AND(M7&gt;20,M7&lt;=30),U36+(U37-U36)/10*(M7-20),0)</f>
        <v>0</v>
      </c>
      <c r="X37" s="198"/>
      <c r="Y37" s="202"/>
      <c r="Z37" s="5"/>
      <c r="AA37" s="5"/>
      <c r="AB37" s="5"/>
      <c r="AC37" s="5"/>
      <c r="AD37" s="5"/>
      <c r="AE37" s="5"/>
      <c r="AF37" s="5"/>
      <c r="AG37" s="5"/>
      <c r="AH37" s="5"/>
      <c r="AI37" s="5"/>
    </row>
    <row r="38" spans="1:35" ht="15.75" customHeight="1" thickBot="1">
      <c r="A38" s="273"/>
      <c r="B38" s="101">
        <v>40</v>
      </c>
      <c r="C38" s="102">
        <v>1485</v>
      </c>
      <c r="D38" s="103">
        <v>3070</v>
      </c>
      <c r="E38" s="102">
        <v>1070</v>
      </c>
      <c r="F38" s="103">
        <v>2065</v>
      </c>
      <c r="G38" s="102">
        <v>735</v>
      </c>
      <c r="H38" s="103">
        <v>1390</v>
      </c>
      <c r="I38" s="128">
        <f>IF(I7&gt;=1225,E38+(C38-E38)/181*(I7-1225),G38+(E38-G38)/182*(I7-1043))</f>
        <v>1329.0883977900553</v>
      </c>
      <c r="J38" s="129">
        <f>IF(I7&gt;=1225,F38+(D38-F38)/181*(I7-1225),H38+(F38-H38)/182*(I7-1043))</f>
        <v>2692.4309392265195</v>
      </c>
      <c r="K38" s="140">
        <f>IF(AND(M7&gt;30,M7&lt;=40),I37+(I38-I37)/10*(M7-30),0)</f>
        <v>0</v>
      </c>
      <c r="L38" s="140">
        <f>IF(AND(M7&gt;30,M7&lt;=40),J37+(J38-J37)/10*(M7-30),0)</f>
        <v>0</v>
      </c>
      <c r="M38" s="214"/>
      <c r="N38" s="209"/>
      <c r="O38" s="272"/>
      <c r="P38" s="5"/>
      <c r="Q38" s="89"/>
      <c r="R38" s="213"/>
      <c r="S38" s="75">
        <v>40</v>
      </c>
      <c r="T38" s="78">
        <v>770</v>
      </c>
      <c r="U38" s="79">
        <v>1650</v>
      </c>
      <c r="V38" s="140">
        <f>IF(AND(M7&gt;30,M7&lt;=40),T37+(T38-T37)/10*(M7-30),0)</f>
        <v>0</v>
      </c>
      <c r="W38" s="140">
        <f>IF(AND(M7&gt;30,M7&lt;=40),U37+(U38-U37)/10*(M7-30),0)</f>
        <v>0</v>
      </c>
      <c r="X38" s="214"/>
      <c r="Y38" s="209"/>
      <c r="Z38" s="5"/>
      <c r="AA38" s="5"/>
      <c r="AB38" s="5"/>
      <c r="AC38" s="5"/>
      <c r="AD38" s="5"/>
      <c r="AE38" s="5"/>
      <c r="AF38" s="5"/>
      <c r="AG38" s="5"/>
      <c r="AH38" s="5"/>
      <c r="AI38" s="5"/>
    </row>
    <row r="39" spans="1:35" ht="15" customHeight="1">
      <c r="A39" s="256">
        <v>6000</v>
      </c>
      <c r="B39" s="63">
        <v>0</v>
      </c>
      <c r="C39" s="64">
        <v>1220</v>
      </c>
      <c r="D39" s="65">
        <v>2470</v>
      </c>
      <c r="E39" s="64">
        <v>880</v>
      </c>
      <c r="F39" s="65">
        <v>1705</v>
      </c>
      <c r="G39" s="64">
        <v>610</v>
      </c>
      <c r="H39" s="65">
        <v>1165</v>
      </c>
      <c r="I39" s="124">
        <f>IF(I7&gt;=1225,E39+(C39-E39)/181*(I7-1225),G39+(E39-G39)/182*(I7-1043))</f>
        <v>1092.2651933701657</v>
      </c>
      <c r="J39" s="125">
        <f>IF(I7&gt;=1225,F39+(D39-F39)/181*(I7-1225),H39+(F39-H39)/182*(I7-1043))</f>
        <v>2182.5966850828727</v>
      </c>
      <c r="K39" s="139">
        <f>IF(M7&lt;=0,I39,0)</f>
        <v>0</v>
      </c>
      <c r="L39" s="139">
        <f>IF(M7&lt;=0,J39,0)</f>
        <v>0</v>
      </c>
      <c r="M39" s="205">
        <f>SUM(K39:K43)</f>
        <v>1177.8729281767955</v>
      </c>
      <c r="N39" s="201">
        <f>SUM(L39:L43)</f>
        <v>2370.6629834254145</v>
      </c>
      <c r="O39" s="5"/>
      <c r="P39" s="5"/>
      <c r="Q39" s="89"/>
      <c r="R39" s="210">
        <v>6000</v>
      </c>
      <c r="S39" s="63">
        <v>0</v>
      </c>
      <c r="T39" s="66">
        <v>700</v>
      </c>
      <c r="U39" s="67">
        <v>1530</v>
      </c>
      <c r="V39" s="139">
        <f>IF(M7&lt;=0,T39,0)</f>
        <v>0</v>
      </c>
      <c r="W39" s="139">
        <f>IF(M7&lt;=0,U39,0)</f>
        <v>0</v>
      </c>
      <c r="X39" s="205">
        <f>SUM(V39:V43)</f>
        <v>725</v>
      </c>
      <c r="Y39" s="201">
        <f>SUM(W39:W43)</f>
        <v>1575</v>
      </c>
      <c r="Z39" s="5"/>
      <c r="AA39" s="5"/>
      <c r="AB39" s="5"/>
      <c r="AC39" s="5"/>
      <c r="AD39" s="5"/>
      <c r="AE39" s="5"/>
      <c r="AF39" s="5"/>
      <c r="AG39" s="5"/>
      <c r="AH39" s="5"/>
      <c r="AI39" s="5"/>
    </row>
    <row r="40" spans="1:35" ht="15" customHeight="1">
      <c r="A40" s="257"/>
      <c r="B40" s="117">
        <v>10</v>
      </c>
      <c r="C40" s="118">
        <v>1315</v>
      </c>
      <c r="D40" s="119">
        <v>2690</v>
      </c>
      <c r="E40" s="118">
        <v>950</v>
      </c>
      <c r="F40" s="119">
        <v>1840</v>
      </c>
      <c r="G40" s="118">
        <v>655</v>
      </c>
      <c r="H40" s="119">
        <v>1250</v>
      </c>
      <c r="I40" s="126">
        <f>IF(I7&gt;=1225,E40+(C40-E40)/181*(I7-1225),G40+(E40-G40)/182*(I7-1043))</f>
        <v>1177.8729281767955</v>
      </c>
      <c r="J40" s="127">
        <f>IF(I7&gt;=1225,F40+(D40-F40)/181*(I7-1225),H40+(F40-H40)/182*(I7-1043))</f>
        <v>2370.6629834254145</v>
      </c>
      <c r="K40" s="131">
        <f>IF(AND(M7&gt;0,M7&lt;=10),I39+((I40-I39)/10*M7),0)</f>
        <v>1177.8729281767955</v>
      </c>
      <c r="L40" s="131">
        <f>IF(AND(M7&gt;0,M7&lt;=10),J39+((J40-J39)/10*M7),0)</f>
        <v>2370.6629834254145</v>
      </c>
      <c r="M40" s="206"/>
      <c r="N40" s="208"/>
      <c r="O40" s="5" t="s">
        <v>39</v>
      </c>
      <c r="P40" s="5"/>
      <c r="Q40" s="89"/>
      <c r="R40" s="211"/>
      <c r="S40" s="117">
        <v>10</v>
      </c>
      <c r="T40" s="120">
        <v>725</v>
      </c>
      <c r="U40" s="121">
        <v>1575</v>
      </c>
      <c r="V40" s="131">
        <f>IF(AND(M7&gt;0,M7&lt;=10),T39+((T40-T39)/10*M7),0)</f>
        <v>725</v>
      </c>
      <c r="W40" s="131">
        <f>IF(AND(M7&gt;0,M7&lt;=10),U39+((U40-U39)/10*M7),0)</f>
        <v>1575</v>
      </c>
      <c r="X40" s="206"/>
      <c r="Y40" s="208"/>
      <c r="Z40" s="5" t="s">
        <v>39</v>
      </c>
      <c r="AA40" s="5"/>
      <c r="AB40" s="5"/>
      <c r="AC40" s="5"/>
      <c r="AD40" s="5"/>
      <c r="AE40" s="5"/>
      <c r="AF40" s="5"/>
      <c r="AG40" s="5"/>
      <c r="AH40" s="5"/>
      <c r="AI40" s="5"/>
    </row>
    <row r="41" spans="1:35" ht="15" customHeight="1">
      <c r="A41" s="257"/>
      <c r="B41" s="117">
        <v>20</v>
      </c>
      <c r="C41" s="118">
        <v>1415</v>
      </c>
      <c r="D41" s="119">
        <v>2930</v>
      </c>
      <c r="E41" s="118">
        <v>1020</v>
      </c>
      <c r="F41" s="119">
        <v>1980</v>
      </c>
      <c r="G41" s="118">
        <v>700</v>
      </c>
      <c r="H41" s="119">
        <v>1335</v>
      </c>
      <c r="I41" s="126">
        <f>IF(I7&gt;=1225,E41+(C41-E41)/181*(I7-1225),G41+(E41-G41)/182*(I7-1043))</f>
        <v>1266.6022099447514</v>
      </c>
      <c r="J41" s="127">
        <f>IF(I7&gt;=1225,F41+(D41-F41)/181*(I7-1225),H41+(F41-H41)/182*(I7-1043))</f>
        <v>2573.0939226519336</v>
      </c>
      <c r="K41" s="131">
        <f>IF(AND(M7&gt;10,M7&lt;=20),I40+(I41-I40)/10*(M7-10),0)</f>
        <v>0</v>
      </c>
      <c r="L41" s="131">
        <f>IF(AND(M7&gt;10,M7&lt;=20),J40+(J41-J40)/10*(M7-10),0)</f>
        <v>0</v>
      </c>
      <c r="M41" s="206"/>
      <c r="N41" s="208"/>
      <c r="O41" s="5"/>
      <c r="P41" s="5"/>
      <c r="Q41" s="89"/>
      <c r="R41" s="211"/>
      <c r="S41" s="117">
        <v>20</v>
      </c>
      <c r="T41" s="120">
        <v>750</v>
      </c>
      <c r="U41" s="121">
        <v>1615</v>
      </c>
      <c r="V41" s="131">
        <f>IF(AND(M7&gt;10,M7&lt;=20),T40+(T41-T40)/10*(M7-10),0)</f>
        <v>0</v>
      </c>
      <c r="W41" s="131">
        <f>IF(AND(M7&gt;10,M7&lt;=20),U40+(U41-U40)/10*(M7-10),0)</f>
        <v>0</v>
      </c>
      <c r="X41" s="206"/>
      <c r="Y41" s="208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spans="1:35" ht="15" customHeight="1">
      <c r="A42" s="258"/>
      <c r="B42" s="70">
        <v>30</v>
      </c>
      <c r="C42" s="71">
        <v>1520</v>
      </c>
      <c r="D42" s="72">
        <v>3200</v>
      </c>
      <c r="E42" s="71">
        <v>1095</v>
      </c>
      <c r="F42" s="72">
        <v>2135</v>
      </c>
      <c r="G42" s="71">
        <v>755</v>
      </c>
      <c r="H42" s="72">
        <v>1430</v>
      </c>
      <c r="I42" s="126">
        <f>IF(I7&gt;=1225,E42+(C42-E42)/181*(I7-1225),G42+(E42-G42)/182*(I7-1043))</f>
        <v>1360.3314917127072</v>
      </c>
      <c r="J42" s="127">
        <f>IF(I7&gt;=1225,F42+(D42-F42)/181*(I7-1225),H42+(F42-H42)/182*(I7-1043))</f>
        <v>2799.8895027624312</v>
      </c>
      <c r="K42" s="131">
        <f>IF(AND(M7&gt;20,M7&lt;=30),I41+(I42-I41)/10*(M7-20),0)</f>
        <v>0</v>
      </c>
      <c r="L42" s="131">
        <f>IF(AND(M7&gt;20,M7&lt;=30),J41+(J42-J41)/10*(M7-20),0)</f>
        <v>0</v>
      </c>
      <c r="M42" s="198"/>
      <c r="N42" s="202"/>
      <c r="O42" s="104">
        <f>IF($O$7&lt;=0,M9,IF(AND($O$7&gt;0,$O$7&lt;1000),(M9+($O$7*(M14-M9)/1000)),IF($O$7=1000,M14,IF(AND($O$7&gt;1000,$O$7&lt;2000),(M14+(($O$7-1000)*(M19-M14)/1000)),IF($O$7=2000,M19,IF(AND($O$7&gt;2000,$O$7&lt;3000),(M19+(($O$7-2000)*(M24-M19)/1000)),IF($O$7=3000,M24,IF(AND($O$7&gt;3000,$O$7&lt;4000),(M24+(($O$7-3000)*(M29-M24)/1000)),IF($O$7=4000,M29,0)))))))))</f>
        <v>687.98342541436466</v>
      </c>
      <c r="P42" s="104">
        <f>IF(O7&lt;=0,N9,IF(AND(O7&gt;0,O7&lt;=1000),(N9+(O7*(N14-N9)/1000)),IF(AND(O7&gt;1000,O7&lt;=2000),(N14+((O7-1000)*(N19-N14)/1000)),IF(AND(O7&gt;2000,O7&lt;=3000),(N19+((O7-2000)*(N24-N19)/1000)),IF(AND(O7&gt;3000,O7&lt;=4000),(N24+((O7-3000)*(N29-N24)/1000)),0)))))</f>
        <v>1311.6022099447514</v>
      </c>
      <c r="Q42" s="89"/>
      <c r="R42" s="212"/>
      <c r="S42" s="70">
        <v>30</v>
      </c>
      <c r="T42" s="73">
        <v>775</v>
      </c>
      <c r="U42" s="74">
        <v>1660</v>
      </c>
      <c r="V42" s="131">
        <f>IF(AND(M7&gt;20,M7&lt;=30),T41+(T42-T41)/10*(M7-20),0)</f>
        <v>0</v>
      </c>
      <c r="W42" s="131">
        <f>IF(AND(M7&gt;20,M7&lt;=30),U41+(U42-U41)/10*(M7-20),0)</f>
        <v>0</v>
      </c>
      <c r="X42" s="198"/>
      <c r="Y42" s="202"/>
      <c r="Z42" s="104">
        <f>IF($O$7&lt;=0,X9,IF(AND($O$7&gt;0,$O$7&lt;1000),(X9+($O$7*(X14-X9)/1000)),IF($O$7=1000,X14,IF(AND($O$7&gt;1000,$O$7&lt;2000),(X14+(($O$7-1000)*(X19-X14)/1000)),IF($O$7=2000,X19,IF(AND($O$7&gt;2000,$O$7&lt;3000),(X19+(($O$7-2000)*(X24-X19)/1000)),IF($O$7=3000,X24,IF(AND($O$7&gt;3000,$O$7&lt;4000),(X24+(($O$7-3000)*(X29-X24)/1000)),IF($O$7=4000,X29,0)))))))))</f>
        <v>580</v>
      </c>
      <c r="AA42" s="104">
        <f>IF(Z7&lt;=0,Y9,IF(AND(Z7&gt;0,Z7&lt;=1000),(Y9+(Z7*(Y14-Y9)/1000)),IF(AND(Z7&gt;1000,Z7&lt;=2000),(Y14+((Z7-1000)*(Y19-Y14)/1000)),IF(AND(Z7&gt;2000,Z7&lt;=3000),(Y19+((Z7-2000)*(Y24-Y19)/1000)),IF(AND(Z7&gt;3000,Z7&lt;=4000),(Y24+((Z7-3000)*(Y29-Y24)/1000)),0)))))</f>
        <v>1335</v>
      </c>
      <c r="AB42" s="5"/>
      <c r="AC42" s="5"/>
      <c r="AD42" s="5"/>
      <c r="AE42" s="5"/>
      <c r="AF42" s="5"/>
      <c r="AG42" s="5"/>
      <c r="AH42" s="5"/>
      <c r="AI42" s="5"/>
    </row>
    <row r="43" spans="1:35" ht="15.75" customHeight="1" thickBot="1">
      <c r="A43" s="273"/>
      <c r="B43" s="101">
        <v>40</v>
      </c>
      <c r="C43" s="102">
        <v>1635</v>
      </c>
      <c r="D43" s="103">
        <v>3510</v>
      </c>
      <c r="E43" s="102">
        <v>1175</v>
      </c>
      <c r="F43" s="103">
        <v>2300</v>
      </c>
      <c r="G43" s="102">
        <v>805</v>
      </c>
      <c r="H43" s="103">
        <v>1530</v>
      </c>
      <c r="I43" s="128">
        <f>IF(I7&gt;=1225,E43+(C43-E43)/181*(I7-1225),G43+(E43-G43)/182*(I7-1043))</f>
        <v>1462.1823204419888</v>
      </c>
      <c r="J43" s="129">
        <f>IF(I7&gt;=1225,F43+(D43-F43)/181*(I7-1225),H43+(F43-H43)/182*(I7-1043))</f>
        <v>3055.4143646408838</v>
      </c>
      <c r="K43" s="140">
        <f>IF(AND(M7&gt;30,M7&lt;=40),I42+(I43-I42)/10*(M7-30),0)</f>
        <v>0</v>
      </c>
      <c r="L43" s="140">
        <f>IF(AND(M7&gt;30,M7&lt;=40),J42+(J43-J42)/10*(M7-30),0)</f>
        <v>0</v>
      </c>
      <c r="M43" s="214"/>
      <c r="N43" s="209"/>
      <c r="O43" s="104"/>
      <c r="P43" s="104"/>
      <c r="Q43" s="89"/>
      <c r="R43" s="213"/>
      <c r="S43" s="75">
        <v>40</v>
      </c>
      <c r="T43" s="78">
        <v>800</v>
      </c>
      <c r="U43" s="79">
        <v>1700</v>
      </c>
      <c r="V43" s="140">
        <f>IF(AND(M7&gt;30,M7&lt;=40),T42+(T43-T42)/10*(M7-30),0)</f>
        <v>0</v>
      </c>
      <c r="W43" s="140">
        <f>IF(AND(M7&gt;30,M7&lt;=40),U42+(U43-U42)/10*(M7-30),0)</f>
        <v>0</v>
      </c>
      <c r="X43" s="214"/>
      <c r="Y43" s="209"/>
      <c r="Z43" s="104"/>
      <c r="AA43" s="104"/>
      <c r="AB43" s="5"/>
      <c r="AC43" s="5"/>
      <c r="AD43" s="5"/>
      <c r="AE43" s="5"/>
      <c r="AF43" s="5"/>
      <c r="AG43" s="5"/>
      <c r="AH43" s="5"/>
      <c r="AI43" s="5"/>
    </row>
    <row r="44" spans="1:35" ht="15" customHeight="1">
      <c r="A44" s="256">
        <v>7000</v>
      </c>
      <c r="B44" s="63">
        <v>0</v>
      </c>
      <c r="C44" s="64">
        <v>1340</v>
      </c>
      <c r="D44" s="65">
        <v>2785</v>
      </c>
      <c r="E44" s="64">
        <v>965</v>
      </c>
      <c r="F44" s="65">
        <v>1890</v>
      </c>
      <c r="G44" s="64">
        <v>665</v>
      </c>
      <c r="H44" s="65">
        <v>1275</v>
      </c>
      <c r="I44" s="124">
        <f>IF(I7&gt;=1225,E44+(C44-E44)/181*(I7-1225),G44+(E44-G44)/182*(I7-1043))</f>
        <v>1199.1160220994475</v>
      </c>
      <c r="J44" s="125">
        <f>IF(I7&gt;=1225,F44+(D44-F44)/181*(I7-1225),H44+(F44-H44)/182*(I7-1043))</f>
        <v>2448.756906077348</v>
      </c>
      <c r="K44" s="139">
        <f>IF(M7&lt;=0,I44,0)</f>
        <v>0</v>
      </c>
      <c r="L44" s="139">
        <f>IF(M7&lt;=0,J44,0)</f>
        <v>0</v>
      </c>
      <c r="M44" s="205">
        <f>SUM(K44:K48)</f>
        <v>1292.8453038674033</v>
      </c>
      <c r="N44" s="201">
        <f>SUM(L44:L48)</f>
        <v>2667.4309392265195</v>
      </c>
      <c r="O44" s="104">
        <f>IF(AND(O7&gt;4000,O7&lt;=5000),(M29+((O7-4000)*(M34-M29)/1000)),IF(AND(O7&gt;5000,O7&lt;=6000),(M34+((O7-5000)*(M39-M34)/1000)),IF(AND(O7&gt;6000,O7&lt;=7000),(M39+((O7-6000)*(M44-M39)/1000)),IF(AND(O7&gt;7000,O7&lt;=8000),(M44+((O7-7000)*(M49-M44)/1000)),0))))</f>
        <v>0</v>
      </c>
      <c r="P44" s="104">
        <f>IF(AND(O7&gt;4000,O7&lt;=5000),(N29+((O7-4000)*(N34-N29)/1000)),IF(AND(O7&gt;5000,O7&lt;=6000),(N34+((O7-5000)*(N39-N34)/1000)),IF(AND(O7&gt;6000,O7&lt;=7000),(N39+((O7-6000)*(N44-N39)/1000)),IF(AND(O7&gt;7000,O7&lt;=8000),(N44+((O7-7000)*(N49-N44)/1000)),0))))</f>
        <v>0</v>
      </c>
      <c r="Q44" s="89"/>
      <c r="R44" s="210">
        <v>7000</v>
      </c>
      <c r="S44" s="63">
        <v>0</v>
      </c>
      <c r="T44" s="66">
        <v>725</v>
      </c>
      <c r="U44" s="67">
        <v>1575</v>
      </c>
      <c r="V44" s="139">
        <f>IF(M7&lt;=0,T44,0)</f>
        <v>0</v>
      </c>
      <c r="W44" s="139">
        <f>IF(M7&lt;=0,U44,0)</f>
        <v>0</v>
      </c>
      <c r="X44" s="205">
        <f>SUM(V44:V48)</f>
        <v>750</v>
      </c>
      <c r="Y44" s="201">
        <f>SUM(W44:W48)</f>
        <v>1615</v>
      </c>
      <c r="Z44" s="104">
        <f>IF(AND(Z7&gt;4000,Z7&lt;=5000),(X29+((Z7-4000)*(X34-X29)/1000)),IF(AND(Z7&gt;5000,Z7&lt;=6000),(X34+((Z7-5000)*(X39-X34)/1000)),IF(AND(Z7&gt;6000,Z7&lt;=7000),(X39+((Z7-6000)*(X44-X39)/1000)),IF(AND(Z7&gt;7000,Z7&lt;=8000),(X44+((Z7-7000)*(X49-X44)/1000)),0))))</f>
        <v>0</v>
      </c>
      <c r="AA44" s="104">
        <f>IF(AND(Z7&gt;4000,Z7&lt;=5000),(Y29+((Z7-4000)*(Y34-Y29)/1000)),IF(AND(Z7&gt;5000,Z7&lt;=6000),(Y34+((Z7-5000)*(Y39-Y34)/1000)),IF(AND(Z7&gt;6000,Z7&lt;=7000),(Y39+((Z7-6000)*(Y44-Y39)/1000)),IF(AND(Z7&gt;7000,Z7&lt;=8000),(Y44+((Z7-7000)*(Y49-Y44)/1000)),0))))</f>
        <v>0</v>
      </c>
      <c r="AB44" s="5"/>
      <c r="AC44" s="5"/>
      <c r="AD44" s="5"/>
      <c r="AE44" s="5"/>
      <c r="AF44" s="5"/>
      <c r="AG44" s="5"/>
      <c r="AH44" s="5"/>
      <c r="AI44" s="5"/>
    </row>
    <row r="45" spans="1:35" ht="15" customHeight="1">
      <c r="A45" s="257"/>
      <c r="B45" s="117">
        <v>10</v>
      </c>
      <c r="C45" s="118">
        <v>1445</v>
      </c>
      <c r="D45" s="119">
        <v>3045</v>
      </c>
      <c r="E45" s="118">
        <v>1040</v>
      </c>
      <c r="F45" s="119">
        <v>2040</v>
      </c>
      <c r="G45" s="118">
        <v>715</v>
      </c>
      <c r="H45" s="119">
        <v>1370</v>
      </c>
      <c r="I45" s="126">
        <f>IF(I7&gt;=1225,E45+(C45-E45)/181*(I7-1225),G45+(E45-G45)/182*(I7-1043))</f>
        <v>1292.8453038674033</v>
      </c>
      <c r="J45" s="127">
        <f>IF(I7&gt;=1225,F45+(D45-F45)/181*(I7-1225),H45+(F45-H45)/182*(I7-1043))</f>
        <v>2667.4309392265195</v>
      </c>
      <c r="K45" s="131">
        <f>IF(AND(M7&gt;0,M7&lt;=10),I44+((I45-I44)/10*M7),0)</f>
        <v>1292.8453038674033</v>
      </c>
      <c r="L45" s="131">
        <f>IF(AND(M7&gt;0,M7&lt;=10),J44+((J45-J44)/10*M7),0)</f>
        <v>2667.4309392265195</v>
      </c>
      <c r="M45" s="206"/>
      <c r="N45" s="208"/>
      <c r="O45" s="5"/>
      <c r="P45" s="5"/>
      <c r="Q45" s="89"/>
      <c r="R45" s="211"/>
      <c r="S45" s="117">
        <v>10</v>
      </c>
      <c r="T45" s="120">
        <v>750</v>
      </c>
      <c r="U45" s="121">
        <v>1615</v>
      </c>
      <c r="V45" s="131">
        <f>IF(AND(M7&gt;0,M7&lt;=10),T44+((T45-T44)/10*M7),0)</f>
        <v>750</v>
      </c>
      <c r="W45" s="131">
        <f>IF(AND(M7&gt;0,M7&lt;=10),U44+((U45-U44)/10*M7),0)</f>
        <v>1615</v>
      </c>
      <c r="X45" s="206"/>
      <c r="Y45" s="208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spans="1:35" ht="15" customHeight="1">
      <c r="A46" s="257"/>
      <c r="B46" s="117">
        <v>20</v>
      </c>
      <c r="C46" s="118">
        <v>1560</v>
      </c>
      <c r="D46" s="119">
        <v>3345</v>
      </c>
      <c r="E46" s="118">
        <v>1120</v>
      </c>
      <c r="F46" s="119">
        <v>2205</v>
      </c>
      <c r="G46" s="118">
        <v>770</v>
      </c>
      <c r="H46" s="119">
        <v>1470</v>
      </c>
      <c r="I46" s="126">
        <f>IF(I7&gt;=1225,E46+(C46-E46)/181*(I7-1225),G46+(E46-G46)/182*(I7-1043))</f>
        <v>1394.6961325966849</v>
      </c>
      <c r="J46" s="127">
        <f>IF(I7&gt;=1225,F46+(D46-F46)/181*(I7-1225),H46+(F46-H46)/182*(I7-1043))</f>
        <v>2916.7127071823206</v>
      </c>
      <c r="K46" s="131">
        <f>IF(AND(M7&gt;10,M7&lt;=20),I45+(I46-I45)/10*(M7-10),0)</f>
        <v>0</v>
      </c>
      <c r="L46" s="131">
        <f>IF(AND(M7&gt;10,M7&lt;=20),J45+(J46-J45)/10*(M7-10),0)</f>
        <v>0</v>
      </c>
      <c r="M46" s="206"/>
      <c r="N46" s="208"/>
      <c r="O46" s="5"/>
      <c r="P46" s="5"/>
      <c r="Q46" s="89"/>
      <c r="R46" s="211"/>
      <c r="S46" s="117">
        <v>20</v>
      </c>
      <c r="T46" s="120">
        <v>780</v>
      </c>
      <c r="U46" s="121">
        <v>1665</v>
      </c>
      <c r="V46" s="131">
        <f>IF(AND(M7&gt;10,M7&lt;=20),T45+(T46-T45)/10*(M7-10),0)</f>
        <v>0</v>
      </c>
      <c r="W46" s="131">
        <f>IF(AND(M7&gt;10,M7&lt;=20),U45+(U46-U45)/10*(M7-10),0)</f>
        <v>0</v>
      </c>
      <c r="X46" s="206"/>
      <c r="Y46" s="208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spans="1:35" ht="15" customHeight="1">
      <c r="A47" s="258"/>
      <c r="B47" s="70">
        <v>30</v>
      </c>
      <c r="C47" s="71">
        <v>1675</v>
      </c>
      <c r="D47" s="72">
        <v>3685</v>
      </c>
      <c r="E47" s="71">
        <v>1200</v>
      </c>
      <c r="F47" s="72">
        <v>2380</v>
      </c>
      <c r="G47" s="71">
        <v>825</v>
      </c>
      <c r="H47" s="72">
        <v>1570</v>
      </c>
      <c r="I47" s="126">
        <f>IF(I7&gt;=1225,E47+(C47-E47)/181*(I7-1225),G47+(E47-G47)/182*(I7-1043))</f>
        <v>1496.5469613259668</v>
      </c>
      <c r="J47" s="127">
        <f>IF(I7&gt;=1225,F47+(D47-F47)/181*(I7-1225),H47+(F47-H47)/182*(I7-1043))</f>
        <v>3194.7237569060771</v>
      </c>
      <c r="K47" s="131">
        <f>IF(AND(M7&gt;20,M7&lt;=30),I46+(I47-I46)/10*(M7-20),0)</f>
        <v>0</v>
      </c>
      <c r="L47" s="131">
        <f>IF(AND(M7&gt;20,M7&lt;=30),J46+(J47-J46)/10*(M7-20),0)</f>
        <v>0</v>
      </c>
      <c r="M47" s="198"/>
      <c r="N47" s="202"/>
      <c r="O47" s="5"/>
      <c r="P47" s="5"/>
      <c r="Q47" s="89"/>
      <c r="R47" s="212"/>
      <c r="S47" s="70">
        <v>30</v>
      </c>
      <c r="T47" s="73">
        <v>805</v>
      </c>
      <c r="U47" s="74">
        <v>1710</v>
      </c>
      <c r="V47" s="131">
        <f>IF(AND(M7&gt;20,M7&lt;=30),T46+(T47-T46)/10*(M7-20),0)</f>
        <v>0</v>
      </c>
      <c r="W47" s="131">
        <f>IF(AND(M7&gt;20,M7&lt;=30),U46+(U47-U46)/10*(M7-20),0)</f>
        <v>0</v>
      </c>
      <c r="X47" s="198"/>
      <c r="Y47" s="202"/>
      <c r="Z47" s="5"/>
      <c r="AA47" s="5"/>
      <c r="AB47" s="5"/>
      <c r="AC47" s="5"/>
      <c r="AD47" s="5"/>
      <c r="AE47" s="5"/>
      <c r="AF47" s="5"/>
      <c r="AG47" s="5"/>
      <c r="AH47" s="5"/>
      <c r="AI47" s="5"/>
    </row>
    <row r="48" spans="1:35" ht="15.75" customHeight="1" thickBot="1">
      <c r="A48" s="273"/>
      <c r="B48" s="101">
        <v>40</v>
      </c>
      <c r="C48" s="102" t="s">
        <v>50</v>
      </c>
      <c r="D48" s="103" t="s">
        <v>50</v>
      </c>
      <c r="E48" s="102">
        <v>1290</v>
      </c>
      <c r="F48" s="103">
        <v>2575</v>
      </c>
      <c r="G48" s="102">
        <v>885</v>
      </c>
      <c r="H48" s="103">
        <v>1685</v>
      </c>
      <c r="I48" s="128" t="e">
        <f>IF(I7&gt;=1225,E48+(C48-E48)/181*(I7-1225),G48+(E48-G48)/182*(I7-1043))</f>
        <v>#VALUE!</v>
      </c>
      <c r="J48" s="129" t="e">
        <f>IF(I7&gt;=1225,F48+(D48-F48)/181*(I7-1225),H48+(F48-H48)/182*(I7-1043))</f>
        <v>#VALUE!</v>
      </c>
      <c r="K48" s="140">
        <f>IF(AND(M7&gt;30,M7&lt;=40),I47+(I48-I47)/10*(M7-30),0)</f>
        <v>0</v>
      </c>
      <c r="L48" s="140">
        <f>IF(AND(M7&gt;30,M7&lt;=40),J47+(J48-J47)/10*(M7-30),0)</f>
        <v>0</v>
      </c>
      <c r="M48" s="214"/>
      <c r="N48" s="209"/>
      <c r="O48" s="5"/>
      <c r="P48" s="5"/>
      <c r="Q48" s="89"/>
      <c r="R48" s="213"/>
      <c r="S48" s="75">
        <v>40</v>
      </c>
      <c r="T48" s="78">
        <v>830</v>
      </c>
      <c r="U48" s="79">
        <v>1750</v>
      </c>
      <c r="V48" s="140">
        <f>IF(AND(M7&gt;30,M7&lt;=40),T47+(T48-T47)/10*(M7-30),0)</f>
        <v>0</v>
      </c>
      <c r="W48" s="140">
        <f>IF(AND(M7&gt;30,M7&lt;=40),U47+(U48-U47)/10*(M7-30),0)</f>
        <v>0</v>
      </c>
      <c r="X48" s="214"/>
      <c r="Y48" s="209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spans="1:35" ht="15" customHeight="1">
      <c r="A49" s="256">
        <v>8000</v>
      </c>
      <c r="B49" s="63">
        <v>0</v>
      </c>
      <c r="C49" s="64">
        <v>1480</v>
      </c>
      <c r="D49" s="65">
        <v>3175</v>
      </c>
      <c r="E49" s="64">
        <v>1060</v>
      </c>
      <c r="F49" s="65">
        <v>2100</v>
      </c>
      <c r="G49" s="64">
        <v>730</v>
      </c>
      <c r="H49" s="65">
        <v>1405</v>
      </c>
      <c r="I49" s="124">
        <f>IF(I7&gt;=1225,E49+(C49-E49)/181*(I7-1225),G49+(E49-G49)/182*(I7-1043))</f>
        <v>1322.2099447513813</v>
      </c>
      <c r="J49" s="125">
        <f>IF(I7&gt;=1225,F49+(D49-F49)/181*(I7-1225),H49+(F49-H49)/182*(I7-1043))</f>
        <v>2771.1325966850827</v>
      </c>
      <c r="K49" s="139">
        <f>IF(M7&lt;=0,I49,0)</f>
        <v>0</v>
      </c>
      <c r="L49" s="139">
        <f>IF(M7&lt;=0,J49,0)</f>
        <v>0</v>
      </c>
      <c r="M49" s="205">
        <f>SUM(K49:K53)</f>
        <v>1425.9392265193369</v>
      </c>
      <c r="N49" s="201">
        <f>SUM(L49:L53)</f>
        <v>3039.779005524862</v>
      </c>
      <c r="O49" s="5"/>
      <c r="P49" s="40"/>
      <c r="Q49" s="89"/>
      <c r="R49" s="210">
        <v>8000</v>
      </c>
      <c r="S49" s="63">
        <v>0</v>
      </c>
      <c r="T49" s="66">
        <v>755</v>
      </c>
      <c r="U49" s="67">
        <v>1625</v>
      </c>
      <c r="V49" s="139">
        <f>IF(M7&lt;=0,T49,0)</f>
        <v>0</v>
      </c>
      <c r="W49" s="139">
        <f>IF(M7&lt;=0,U49,0)</f>
        <v>0</v>
      </c>
      <c r="X49" s="205">
        <f>SUM(V49:V53)</f>
        <v>780</v>
      </c>
      <c r="Y49" s="201">
        <f>SUM(W49:W53)</f>
        <v>1655</v>
      </c>
      <c r="Z49" s="5"/>
      <c r="AA49" s="5"/>
      <c r="AB49" s="5"/>
      <c r="AC49" s="5"/>
      <c r="AD49" s="5"/>
      <c r="AE49" s="5"/>
      <c r="AF49" s="5"/>
      <c r="AG49" s="5"/>
      <c r="AH49" s="5"/>
      <c r="AI49" s="5"/>
    </row>
    <row r="50" spans="1:35" ht="15" customHeight="1">
      <c r="A50" s="257"/>
      <c r="B50" s="117">
        <v>10</v>
      </c>
      <c r="C50" s="118">
        <v>1595</v>
      </c>
      <c r="D50" s="119">
        <v>3500</v>
      </c>
      <c r="E50" s="118">
        <v>1145</v>
      </c>
      <c r="F50" s="119">
        <v>2275</v>
      </c>
      <c r="G50" s="118">
        <v>785</v>
      </c>
      <c r="H50" s="119">
        <v>1510</v>
      </c>
      <c r="I50" s="126">
        <f>IF(I7&gt;=1225,E50+(C50-E50)/181*(I7-1225),G50+(E50-G50)/182*(I7-1043))</f>
        <v>1425.9392265193369</v>
      </c>
      <c r="J50" s="127">
        <f>IF(I7&gt;=1225,F50+(D50-F50)/181*(I7-1225),H50+(F50-H50)/182*(I7-1043))</f>
        <v>3039.779005524862</v>
      </c>
      <c r="K50" s="131">
        <f>IF(AND(M7&gt;0,M7&lt;=10),I49+((I50-I49)/10*M7),0)</f>
        <v>1425.9392265193369</v>
      </c>
      <c r="L50" s="131">
        <f>IF(AND(M7&gt;0,M7&lt;=10),J49+((J50-J49)/10*M7),0)</f>
        <v>3039.779005524862</v>
      </c>
      <c r="M50" s="206"/>
      <c r="N50" s="208"/>
      <c r="O50" s="5"/>
      <c r="P50" s="5"/>
      <c r="Q50" s="89"/>
      <c r="R50" s="211"/>
      <c r="S50" s="117">
        <v>10</v>
      </c>
      <c r="T50" s="120">
        <v>780</v>
      </c>
      <c r="U50" s="121">
        <v>1655</v>
      </c>
      <c r="V50" s="131">
        <f>IF(AND(M7&gt;0,M7&lt;=10),T49+((T50-T49)/10*M7),0)</f>
        <v>780</v>
      </c>
      <c r="W50" s="131">
        <f>IF(AND(M7&gt;0,M7&lt;=10),U49+((U50-U49)/10*M7),0)</f>
        <v>1655</v>
      </c>
      <c r="X50" s="206"/>
      <c r="Y50" s="208"/>
      <c r="Z50" s="5"/>
      <c r="AA50" s="5"/>
      <c r="AB50" s="5"/>
      <c r="AC50" s="5"/>
      <c r="AD50" s="5"/>
      <c r="AE50" s="5"/>
      <c r="AF50" s="5"/>
      <c r="AG50" s="5"/>
      <c r="AH50" s="5"/>
      <c r="AI50" s="5"/>
    </row>
    <row r="51" spans="1:35" ht="15" customHeight="1">
      <c r="A51" s="257"/>
      <c r="B51" s="117">
        <v>20</v>
      </c>
      <c r="C51" s="118">
        <v>1720</v>
      </c>
      <c r="D51" s="119">
        <v>3880</v>
      </c>
      <c r="E51" s="118">
        <v>1230</v>
      </c>
      <c r="F51" s="119">
        <v>2465</v>
      </c>
      <c r="G51" s="118">
        <v>845</v>
      </c>
      <c r="H51" s="119">
        <v>1620</v>
      </c>
      <c r="I51" s="126">
        <f>IF(I7&gt;=1225,E51+(C51-E51)/181*(I7-1225),G51+(E51-G51)/182*(I7-1043))</f>
        <v>1535.9116022099447</v>
      </c>
      <c r="J51" s="127">
        <f>IF(I7&gt;=1225,F51+(D51-F51)/181*(I7-1225),H51+(F51-H51)/182*(I7-1043))</f>
        <v>3348.3977900552486</v>
      </c>
      <c r="K51" s="131">
        <f>IF(AND(M7&gt;10,M7&lt;=20),I50+(I51-I50)/10*(M7-10),0)</f>
        <v>0</v>
      </c>
      <c r="L51" s="131">
        <f>IF(AND(M7&gt;10,M7&lt;=20),J50+(J51-J50)/10*(M7-10),0)</f>
        <v>0</v>
      </c>
      <c r="M51" s="206"/>
      <c r="N51" s="208"/>
      <c r="O51" s="5"/>
      <c r="P51" s="5"/>
      <c r="Q51" s="89"/>
      <c r="R51" s="211"/>
      <c r="S51" s="117">
        <v>20</v>
      </c>
      <c r="T51" s="120">
        <v>810</v>
      </c>
      <c r="U51" s="121">
        <v>1715</v>
      </c>
      <c r="V51" s="131">
        <f>IF(AND(M7&gt;10,M7&lt;=20),T50+(T51-T50)/10*(M7-10),0)</f>
        <v>0</v>
      </c>
      <c r="W51" s="131">
        <f>IF(AND(M7&gt;10,M7&lt;=20),U50+(U51-U50)/10*(M7-10),0)</f>
        <v>0</v>
      </c>
      <c r="X51" s="206"/>
      <c r="Y51" s="208"/>
      <c r="Z51" s="5"/>
      <c r="AA51" s="5"/>
      <c r="AB51" s="5"/>
      <c r="AC51" s="5"/>
      <c r="AD51" s="5"/>
      <c r="AE51" s="5"/>
      <c r="AF51" s="5"/>
      <c r="AG51" s="5"/>
      <c r="AH51" s="5"/>
      <c r="AI51" s="5"/>
    </row>
    <row r="52" spans="1:35" ht="15" customHeight="1">
      <c r="A52" s="258"/>
      <c r="B52" s="70">
        <v>30</v>
      </c>
      <c r="C52" s="71" t="s">
        <v>50</v>
      </c>
      <c r="D52" s="72" t="s">
        <v>50</v>
      </c>
      <c r="E52" s="71">
        <v>1320</v>
      </c>
      <c r="F52" s="72">
        <v>2675</v>
      </c>
      <c r="G52" s="71">
        <v>905</v>
      </c>
      <c r="H52" s="72">
        <v>1735</v>
      </c>
      <c r="I52" s="126" t="e">
        <f>IF(I7&gt;=1225,E52+(C52-E52)/181*(I7-1225),G52+(E52-G52)/182*(I7-1043))</f>
        <v>#VALUE!</v>
      </c>
      <c r="J52" s="127" t="e">
        <f>IF(I7&gt;=1225,F52+(D52-F52)/181*(I7-1225),H52+(F52-H52)/182*(I7-1043))</f>
        <v>#VALUE!</v>
      </c>
      <c r="K52" s="131">
        <f>IF(AND(M7&gt;20,M7&lt;=30),I51+(I52-I51)/10*(M7-20),0)</f>
        <v>0</v>
      </c>
      <c r="L52" s="131">
        <f>IF(AND(M7&gt;20,M7&lt;=30),J51+(J52-J51)/10*(M7-20),0)</f>
        <v>0</v>
      </c>
      <c r="M52" s="198"/>
      <c r="N52" s="202"/>
      <c r="O52" s="5"/>
      <c r="P52" s="5"/>
      <c r="Q52" s="89"/>
      <c r="R52" s="212"/>
      <c r="S52" s="70">
        <v>30</v>
      </c>
      <c r="T52" s="73">
        <v>835</v>
      </c>
      <c r="U52" s="74">
        <v>1760</v>
      </c>
      <c r="V52" s="131">
        <f>IF(AND(M7&gt;20,M7&lt;=30),T51+(T52-T51)/10*(M7-20),0)</f>
        <v>0</v>
      </c>
      <c r="W52" s="131">
        <f>IF(AND(M7&gt;20,M7&lt;=30),U51+(U52-U51)/10*(M7-20),0)</f>
        <v>0</v>
      </c>
      <c r="X52" s="198"/>
      <c r="Y52" s="202"/>
      <c r="Z52" s="5"/>
      <c r="AA52" s="5"/>
      <c r="AB52" s="5"/>
      <c r="AC52" s="5"/>
      <c r="AD52" s="5"/>
      <c r="AE52" s="5"/>
      <c r="AF52" s="5"/>
      <c r="AG52" s="5"/>
      <c r="AH52" s="5"/>
      <c r="AI52" s="5"/>
    </row>
    <row r="53" spans="1:35" ht="15.75" customHeight="1" thickBot="1">
      <c r="A53" s="273"/>
      <c r="B53" s="101">
        <v>40</v>
      </c>
      <c r="C53" s="102" t="s">
        <v>50</v>
      </c>
      <c r="D53" s="103" t="s">
        <v>50</v>
      </c>
      <c r="E53" s="102">
        <v>1420</v>
      </c>
      <c r="F53" s="103">
        <v>2910</v>
      </c>
      <c r="G53" s="102">
        <v>970</v>
      </c>
      <c r="H53" s="103">
        <v>1865</v>
      </c>
      <c r="I53" s="128" t="e">
        <f>IF(I7&gt;=1225,E53+(C53-E53)/181*(I7-1225),G53+(E53-G53)/182*(I7-1043))</f>
        <v>#VALUE!</v>
      </c>
      <c r="J53" s="129" t="e">
        <f>IF(I7&gt;=1225,F53+(D53-F53)/181*(I7-1225),H53+(F53-H53)/182*(I7-1043))</f>
        <v>#VALUE!</v>
      </c>
      <c r="K53" s="140">
        <f>IF(AND(M7&gt;30,M7&lt;=40),I52+(I53-I52)/10*(M7-30),0)</f>
        <v>0</v>
      </c>
      <c r="L53" s="140">
        <f>IF(AND(M7&gt;30,M7&lt;=40),J52+(J53-J52)/10*(M7-30),0)</f>
        <v>0</v>
      </c>
      <c r="M53" s="214"/>
      <c r="N53" s="209"/>
      <c r="O53" s="5"/>
      <c r="P53" s="5"/>
      <c r="Q53" s="89"/>
      <c r="R53" s="213"/>
      <c r="S53" s="75">
        <v>40</v>
      </c>
      <c r="T53" s="78">
        <v>865</v>
      </c>
      <c r="U53" s="79">
        <v>1805</v>
      </c>
      <c r="V53" s="140">
        <f>IF(AND(M7&gt;30,M7&lt;=40),T52+(T53-T52)/10*(M7-30),0)</f>
        <v>0</v>
      </c>
      <c r="W53" s="140">
        <f>IF(AND(M7&gt;30,M7&lt;=40),U52+(U53-U52)/10*(M7-30),0)</f>
        <v>0</v>
      </c>
      <c r="X53" s="214"/>
      <c r="Y53" s="209"/>
      <c r="Z53" s="5"/>
      <c r="AA53" s="5"/>
      <c r="AB53" s="5"/>
      <c r="AC53" s="5"/>
      <c r="AD53" s="5"/>
      <c r="AE53" s="5"/>
      <c r="AF53" s="5"/>
      <c r="AG53" s="5"/>
      <c r="AH53" s="5"/>
      <c r="AI53" s="5"/>
    </row>
  </sheetData>
  <sheetProtection sheet="1" objects="1" scenarios="1"/>
  <mergeCells count="87">
    <mergeCell ref="A1:E1"/>
    <mergeCell ref="A4:Q4"/>
    <mergeCell ref="S4:AB4"/>
    <mergeCell ref="AE5:AJ5"/>
    <mergeCell ref="C6:D6"/>
    <mergeCell ref="E6:F6"/>
    <mergeCell ref="G6:H6"/>
    <mergeCell ref="I6:J6"/>
    <mergeCell ref="M6:N6"/>
    <mergeCell ref="O6:P6"/>
    <mergeCell ref="T6:U6"/>
    <mergeCell ref="V6:Y6"/>
    <mergeCell ref="Z6:AA6"/>
    <mergeCell ref="A7:A8"/>
    <mergeCell ref="B7:B8"/>
    <mergeCell ref="C7:D7"/>
    <mergeCell ref="E7:F7"/>
    <mergeCell ref="G7:H7"/>
    <mergeCell ref="I7:J7"/>
    <mergeCell ref="M7:N7"/>
    <mergeCell ref="AE7:AF7"/>
    <mergeCell ref="AG7:AH7"/>
    <mergeCell ref="A9:A13"/>
    <mergeCell ref="M9:M13"/>
    <mergeCell ref="N9:N13"/>
    <mergeCell ref="O9:O23"/>
    <mergeCell ref="P9:P23"/>
    <mergeCell ref="R9:R13"/>
    <mergeCell ref="X9:X13"/>
    <mergeCell ref="Y9:Y13"/>
    <mergeCell ref="O7:P7"/>
    <mergeCell ref="R7:R8"/>
    <mergeCell ref="S7:S8"/>
    <mergeCell ref="T7:U7"/>
    <mergeCell ref="V7:W7"/>
    <mergeCell ref="Z7:AA7"/>
    <mergeCell ref="Z9:Z23"/>
    <mergeCell ref="AA9:AA23"/>
    <mergeCell ref="A14:A18"/>
    <mergeCell ref="M14:M18"/>
    <mergeCell ref="N14:N18"/>
    <mergeCell ref="R14:R18"/>
    <mergeCell ref="X14:X18"/>
    <mergeCell ref="Y14:Y18"/>
    <mergeCell ref="A19:A23"/>
    <mergeCell ref="M19:M23"/>
    <mergeCell ref="N19:N23"/>
    <mergeCell ref="R19:R23"/>
    <mergeCell ref="X19:X23"/>
    <mergeCell ref="Y19:Y23"/>
    <mergeCell ref="X24:X28"/>
    <mergeCell ref="Y24:Y28"/>
    <mergeCell ref="A29:A33"/>
    <mergeCell ref="M29:M33"/>
    <mergeCell ref="N29:N33"/>
    <mergeCell ref="R29:R33"/>
    <mergeCell ref="X29:X33"/>
    <mergeCell ref="Y29:Y33"/>
    <mergeCell ref="A24:A28"/>
    <mergeCell ref="M24:M28"/>
    <mergeCell ref="N24:N28"/>
    <mergeCell ref="O24:O38"/>
    <mergeCell ref="R24:R28"/>
    <mergeCell ref="Y39:Y43"/>
    <mergeCell ref="A34:A38"/>
    <mergeCell ref="M34:M38"/>
    <mergeCell ref="N34:N38"/>
    <mergeCell ref="R34:R38"/>
    <mergeCell ref="X34:X38"/>
    <mergeCell ref="Y34:Y38"/>
    <mergeCell ref="A39:A43"/>
    <mergeCell ref="M39:M43"/>
    <mergeCell ref="N39:N43"/>
    <mergeCell ref="R39:R43"/>
    <mergeCell ref="X39:X43"/>
    <mergeCell ref="Y49:Y53"/>
    <mergeCell ref="A44:A48"/>
    <mergeCell ref="M44:M48"/>
    <mergeCell ref="N44:N48"/>
    <mergeCell ref="R44:R48"/>
    <mergeCell ref="X44:X48"/>
    <mergeCell ref="Y44:Y48"/>
    <mergeCell ref="A49:A53"/>
    <mergeCell ref="M49:M53"/>
    <mergeCell ref="N49:N53"/>
    <mergeCell ref="R49:R53"/>
    <mergeCell ref="X49:X53"/>
  </mergeCells>
  <conditionalFormatting sqref="AE9:AH9">
    <cfRule type="containsText" dxfId="0" priority="1" stopIfTrue="1" operator="containsText" text="Altitude">
      <formula>NOT(ISERROR(FIND(UPPER("Altitude"),UPPER(AE9))))</formula>
      <formula>"Altitude"</formula>
    </cfRule>
  </conditionalFormatting>
  <pageMargins left="0.7" right="0.7" top="0.75" bottom="0.75" header="0.3" footer="0.3"/>
  <pageSetup orientation="portrait"/>
  <headerFooter>
    <oddFooter>&amp;C&amp;"Helvetica Neue,Regular"&amp;12&amp;K000000&amp;P</oddFooter>
  </headerFooter>
  <ignoredErrors>
    <ignoredError sqref="AG10" formula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Perfos C172S F-HAAM</vt:lpstr>
      <vt:lpstr>Calculs C172S</vt:lpstr>
      <vt:lpstr>Perfos C182T F-HFBD</vt:lpstr>
      <vt:lpstr>Calculs C182T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Laverne</dc:creator>
  <cp:lastModifiedBy>LAVERNE TOM</cp:lastModifiedBy>
  <dcterms:created xsi:type="dcterms:W3CDTF">2023-10-16T17:40:03Z</dcterms:created>
  <dcterms:modified xsi:type="dcterms:W3CDTF">2025-12-19T13:12:39Z</dcterms:modified>
</cp:coreProperties>
</file>